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Приложение 1" sheetId="1" r:id="rId1"/>
    <sheet name="Приложение 2" sheetId="2" r:id="rId2"/>
    <sheet name="Приложение 3" sheetId="3" r:id="rId3"/>
  </sheets>
  <calcPr calcId="145621" fullPrecision="0" concurrentCalc="0"/>
</workbook>
</file>

<file path=xl/calcChain.xml><?xml version="1.0" encoding="utf-8"?>
<calcChain xmlns="http://schemas.openxmlformats.org/spreadsheetml/2006/main">
  <c r="Q12" i="3" l="1"/>
  <c r="K12" i="3"/>
  <c r="E12" i="3"/>
  <c r="H11" i="1"/>
  <c r="I11" i="1"/>
  <c r="J11" i="1"/>
  <c r="K11" i="1"/>
  <c r="L11" i="1"/>
  <c r="M11" i="1"/>
  <c r="N11" i="1"/>
  <c r="O11" i="1"/>
  <c r="P11" i="1"/>
  <c r="Q11" i="1"/>
  <c r="R11" i="1"/>
  <c r="S11" i="1"/>
  <c r="G11" i="1"/>
  <c r="I68" i="2"/>
  <c r="J68" i="2"/>
  <c r="I69" i="2"/>
  <c r="J69" i="2"/>
  <c r="I70" i="2"/>
  <c r="J70" i="2"/>
  <c r="I71" i="2"/>
  <c r="J71" i="2"/>
  <c r="H69" i="2"/>
  <c r="H70" i="2"/>
  <c r="H71" i="2"/>
  <c r="H68" i="2"/>
  <c r="D69" i="2"/>
  <c r="D70" i="2"/>
  <c r="D71" i="2"/>
  <c r="D68" i="2"/>
  <c r="C69" i="2"/>
  <c r="C70" i="2"/>
  <c r="C71" i="2"/>
  <c r="B71" i="2"/>
  <c r="B70" i="2"/>
  <c r="A69" i="2"/>
  <c r="M68" i="1"/>
  <c r="C68" i="2"/>
  <c r="D68" i="1"/>
  <c r="D69" i="1"/>
  <c r="U71" i="1"/>
  <c r="T71" i="1"/>
  <c r="U70" i="1"/>
  <c r="T70" i="1"/>
  <c r="R71" i="1"/>
  <c r="S71" i="1"/>
  <c r="R70" i="1"/>
  <c r="S70" i="1"/>
  <c r="P71" i="1"/>
  <c r="P70" i="1"/>
  <c r="J71" i="1"/>
  <c r="J70" i="1"/>
  <c r="M71" i="1"/>
  <c r="I71" i="1"/>
  <c r="M70" i="1"/>
  <c r="I70" i="1"/>
  <c r="H71" i="1"/>
  <c r="H70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H68" i="1"/>
  <c r="I68" i="1"/>
  <c r="J68" i="1"/>
  <c r="K68" i="1"/>
  <c r="L68" i="1"/>
  <c r="N68" i="1"/>
  <c r="O68" i="1"/>
  <c r="P68" i="1"/>
  <c r="Q68" i="1"/>
  <c r="R68" i="1"/>
  <c r="S68" i="1"/>
  <c r="T68" i="1"/>
  <c r="U68" i="1"/>
  <c r="G68" i="1"/>
  <c r="G69" i="1"/>
  <c r="P67" i="1"/>
  <c r="R67" i="1"/>
  <c r="Q67" i="1"/>
  <c r="P66" i="1"/>
  <c r="R66" i="1"/>
  <c r="Q66" i="1"/>
  <c r="P65" i="1"/>
  <c r="R65" i="1"/>
  <c r="Q65" i="1"/>
  <c r="P64" i="1"/>
  <c r="R64" i="1"/>
  <c r="Q64" i="1"/>
  <c r="P63" i="1"/>
  <c r="R63" i="1"/>
  <c r="Q63" i="1"/>
  <c r="P62" i="1"/>
  <c r="R62" i="1"/>
  <c r="Q62" i="1"/>
  <c r="P61" i="1"/>
  <c r="R61" i="1"/>
  <c r="Q61" i="1"/>
  <c r="P60" i="1"/>
  <c r="R60" i="1"/>
  <c r="Q60" i="1"/>
  <c r="P59" i="1"/>
  <c r="R59" i="1"/>
  <c r="Q59" i="1"/>
  <c r="P58" i="1"/>
  <c r="R58" i="1"/>
  <c r="Q58" i="1"/>
  <c r="R57" i="1"/>
  <c r="Q57" i="1"/>
  <c r="R56" i="1"/>
  <c r="Q56" i="1"/>
  <c r="R55" i="1"/>
  <c r="Q55" i="1"/>
  <c r="R54" i="1"/>
  <c r="Q54" i="1"/>
  <c r="R53" i="1"/>
  <c r="Q53" i="1"/>
  <c r="N56" i="1"/>
  <c r="R97" i="1"/>
  <c r="R96" i="1"/>
  <c r="R95" i="1"/>
  <c r="Q96" i="1"/>
  <c r="Q97" i="1"/>
  <c r="Q95" i="1"/>
  <c r="P15" i="1"/>
  <c r="M16" i="1"/>
  <c r="Q16" i="1"/>
  <c r="R16" i="1"/>
  <c r="S16" i="1"/>
  <c r="P16" i="1"/>
  <c r="M17" i="1"/>
  <c r="Q17" i="1"/>
  <c r="R17" i="1"/>
  <c r="S17" i="1"/>
  <c r="P17" i="1"/>
  <c r="M18" i="1"/>
  <c r="Q18" i="1"/>
  <c r="R18" i="1"/>
  <c r="S18" i="1"/>
  <c r="P18" i="1"/>
  <c r="M19" i="1"/>
  <c r="Q19" i="1"/>
  <c r="R19" i="1"/>
  <c r="S19" i="1"/>
  <c r="P19" i="1"/>
  <c r="M20" i="1"/>
  <c r="Q20" i="1"/>
  <c r="R20" i="1"/>
  <c r="S20" i="1"/>
  <c r="P20" i="1"/>
  <c r="M21" i="1"/>
  <c r="Q21" i="1"/>
  <c r="R21" i="1"/>
  <c r="S21" i="1"/>
  <c r="P21" i="1"/>
  <c r="M22" i="1"/>
  <c r="Q22" i="1"/>
  <c r="R22" i="1"/>
  <c r="S22" i="1"/>
  <c r="P22" i="1"/>
  <c r="M23" i="1"/>
  <c r="Q23" i="1"/>
  <c r="R23" i="1"/>
  <c r="S23" i="1"/>
  <c r="P23" i="1"/>
  <c r="M24" i="1"/>
  <c r="Q24" i="1"/>
  <c r="R24" i="1"/>
  <c r="S24" i="1"/>
  <c r="P24" i="1"/>
  <c r="P13" i="1"/>
  <c r="D12" i="2"/>
  <c r="I12" i="2"/>
  <c r="M13" i="1"/>
  <c r="C12" i="2"/>
  <c r="H12" i="2"/>
  <c r="J12" i="2"/>
  <c r="I13" i="2"/>
  <c r="H13" i="2"/>
  <c r="J13" i="2"/>
  <c r="I14" i="2"/>
  <c r="H14" i="2"/>
  <c r="J14" i="2"/>
  <c r="D15" i="2"/>
  <c r="I15" i="2"/>
  <c r="C15" i="2"/>
  <c r="H15" i="2"/>
  <c r="J15" i="2"/>
  <c r="D16" i="2"/>
  <c r="I16" i="2"/>
  <c r="C16" i="2"/>
  <c r="H16" i="2"/>
  <c r="J16" i="2"/>
  <c r="D17" i="2"/>
  <c r="I17" i="2"/>
  <c r="C17" i="2"/>
  <c r="H17" i="2"/>
  <c r="J17" i="2"/>
  <c r="D18" i="2"/>
  <c r="I18" i="2"/>
  <c r="C18" i="2"/>
  <c r="H18" i="2"/>
  <c r="J18" i="2"/>
  <c r="D19" i="2"/>
  <c r="I19" i="2"/>
  <c r="C19" i="2"/>
  <c r="H19" i="2"/>
  <c r="J19" i="2"/>
  <c r="D20" i="2"/>
  <c r="I20" i="2"/>
  <c r="C20" i="2"/>
  <c r="H20" i="2"/>
  <c r="J20" i="2"/>
  <c r="D21" i="2"/>
  <c r="I21" i="2"/>
  <c r="C21" i="2"/>
  <c r="H21" i="2"/>
  <c r="J21" i="2"/>
  <c r="D22" i="2"/>
  <c r="I22" i="2"/>
  <c r="C22" i="2"/>
  <c r="H22" i="2"/>
  <c r="J22" i="2"/>
  <c r="D23" i="2"/>
  <c r="I23" i="2"/>
  <c r="C23" i="2"/>
  <c r="H23" i="2"/>
  <c r="J23" i="2"/>
  <c r="D24" i="2"/>
  <c r="I24" i="2"/>
  <c r="C24" i="2"/>
  <c r="H24" i="2"/>
  <c r="J24" i="2"/>
  <c r="D29" i="2"/>
  <c r="I29" i="2"/>
  <c r="C29" i="2"/>
  <c r="H29" i="2"/>
  <c r="J29" i="2"/>
  <c r="S30" i="1"/>
  <c r="P30" i="1"/>
  <c r="D30" i="2"/>
  <c r="I30" i="2"/>
  <c r="C30" i="2"/>
  <c r="H30" i="2"/>
  <c r="J30" i="2"/>
  <c r="S31" i="1"/>
  <c r="P31" i="1"/>
  <c r="D31" i="2"/>
  <c r="I31" i="2"/>
  <c r="C31" i="2"/>
  <c r="H31" i="2"/>
  <c r="J31" i="2"/>
  <c r="S32" i="1"/>
  <c r="P32" i="1"/>
  <c r="D32" i="2"/>
  <c r="I32" i="2"/>
  <c r="C32" i="2"/>
  <c r="H32" i="2"/>
  <c r="J32" i="2"/>
  <c r="S33" i="1"/>
  <c r="P33" i="1"/>
  <c r="D33" i="2"/>
  <c r="I33" i="2"/>
  <c r="C33" i="2"/>
  <c r="H33" i="2"/>
  <c r="J33" i="2"/>
  <c r="S34" i="1"/>
  <c r="P34" i="1"/>
  <c r="D34" i="2"/>
  <c r="I34" i="2"/>
  <c r="C34" i="2"/>
  <c r="H34" i="2"/>
  <c r="J34" i="2"/>
  <c r="P35" i="1"/>
  <c r="D35" i="2"/>
  <c r="I35" i="2"/>
  <c r="C35" i="2"/>
  <c r="H35" i="2"/>
  <c r="J35" i="2"/>
  <c r="S36" i="1"/>
  <c r="P36" i="1"/>
  <c r="D36" i="2"/>
  <c r="I36" i="2"/>
  <c r="C36" i="2"/>
  <c r="H36" i="2"/>
  <c r="J36" i="2"/>
  <c r="S37" i="1"/>
  <c r="P37" i="1"/>
  <c r="D37" i="2"/>
  <c r="I37" i="2"/>
  <c r="C37" i="2"/>
  <c r="H37" i="2"/>
  <c r="J37" i="2"/>
  <c r="S38" i="1"/>
  <c r="P38" i="1"/>
  <c r="D38" i="2"/>
  <c r="I38" i="2"/>
  <c r="C38" i="2"/>
  <c r="H38" i="2"/>
  <c r="J38" i="2"/>
  <c r="S39" i="1"/>
  <c r="P39" i="1"/>
  <c r="D39" i="2"/>
  <c r="I39" i="2"/>
  <c r="C39" i="2"/>
  <c r="H39" i="2"/>
  <c r="J39" i="2"/>
  <c r="S40" i="1"/>
  <c r="P40" i="1"/>
  <c r="D40" i="2"/>
  <c r="I40" i="2"/>
  <c r="C40" i="2"/>
  <c r="H40" i="2"/>
  <c r="J40" i="2"/>
  <c r="S41" i="1"/>
  <c r="P41" i="1"/>
  <c r="D41" i="2"/>
  <c r="I41" i="2"/>
  <c r="C41" i="2"/>
  <c r="H41" i="2"/>
  <c r="J41" i="2"/>
  <c r="S42" i="1"/>
  <c r="P42" i="1"/>
  <c r="D42" i="2"/>
  <c r="I42" i="2"/>
  <c r="C42" i="2"/>
  <c r="H42" i="2"/>
  <c r="J42" i="2"/>
  <c r="S43" i="1"/>
  <c r="P43" i="1"/>
  <c r="D43" i="2"/>
  <c r="I43" i="2"/>
  <c r="C43" i="2"/>
  <c r="H43" i="2"/>
  <c r="J43" i="2"/>
  <c r="S44" i="1"/>
  <c r="P44" i="1"/>
  <c r="D44" i="2"/>
  <c r="I44" i="2"/>
  <c r="C44" i="2"/>
  <c r="H44" i="2"/>
  <c r="J44" i="2"/>
  <c r="P45" i="1"/>
  <c r="D45" i="2"/>
  <c r="I45" i="2"/>
  <c r="C45" i="2"/>
  <c r="H45" i="2"/>
  <c r="J45" i="2"/>
  <c r="S46" i="1"/>
  <c r="P46" i="1"/>
  <c r="D46" i="2"/>
  <c r="I46" i="2"/>
  <c r="C46" i="2"/>
  <c r="H46" i="2"/>
  <c r="J46" i="2"/>
  <c r="S47" i="1"/>
  <c r="P47" i="1"/>
  <c r="D47" i="2"/>
  <c r="I47" i="2"/>
  <c r="C47" i="2"/>
  <c r="H47" i="2"/>
  <c r="J47" i="2"/>
  <c r="S48" i="1"/>
  <c r="P48" i="1"/>
  <c r="D48" i="2"/>
  <c r="I48" i="2"/>
  <c r="C48" i="2"/>
  <c r="H48" i="2"/>
  <c r="J48" i="2"/>
  <c r="P26" i="1"/>
  <c r="D26" i="2"/>
  <c r="I26" i="2"/>
  <c r="I28" i="2"/>
  <c r="I49" i="2"/>
  <c r="C26" i="2"/>
  <c r="H26" i="2"/>
  <c r="H28" i="2"/>
  <c r="H49" i="2"/>
  <c r="J49" i="2"/>
  <c r="M56" i="1"/>
  <c r="P56" i="1"/>
  <c r="P52" i="1"/>
  <c r="D52" i="2"/>
  <c r="I52" i="2"/>
  <c r="I50" i="2"/>
  <c r="M52" i="1"/>
  <c r="C52" i="2"/>
  <c r="H52" i="2"/>
  <c r="H50" i="2"/>
  <c r="J50" i="2"/>
  <c r="P51" i="1"/>
  <c r="D51" i="2"/>
  <c r="I51" i="2"/>
  <c r="M51" i="1"/>
  <c r="C51" i="2"/>
  <c r="H51" i="2"/>
  <c r="J51" i="2"/>
  <c r="J52" i="2"/>
  <c r="D53" i="2"/>
  <c r="I53" i="2"/>
  <c r="C53" i="2"/>
  <c r="H53" i="2"/>
  <c r="J53" i="2"/>
  <c r="D54" i="2"/>
  <c r="I54" i="2"/>
  <c r="C54" i="2"/>
  <c r="H54" i="2"/>
  <c r="J54" i="2"/>
  <c r="D55" i="2"/>
  <c r="I55" i="2"/>
  <c r="C55" i="2"/>
  <c r="H55" i="2"/>
  <c r="J55" i="2"/>
  <c r="D56" i="2"/>
  <c r="I56" i="2"/>
  <c r="C56" i="2"/>
  <c r="H56" i="2"/>
  <c r="J56" i="2"/>
  <c r="D57" i="2"/>
  <c r="I57" i="2"/>
  <c r="C57" i="2"/>
  <c r="H57" i="2"/>
  <c r="J57" i="2"/>
  <c r="D58" i="2"/>
  <c r="I58" i="2"/>
  <c r="C58" i="2"/>
  <c r="H58" i="2"/>
  <c r="J58" i="2"/>
  <c r="D59" i="2"/>
  <c r="I59" i="2"/>
  <c r="C59" i="2"/>
  <c r="H59" i="2"/>
  <c r="J59" i="2"/>
  <c r="D60" i="2"/>
  <c r="I60" i="2"/>
  <c r="C60" i="2"/>
  <c r="H60" i="2"/>
  <c r="J60" i="2"/>
  <c r="D61" i="2"/>
  <c r="I61" i="2"/>
  <c r="C61" i="2"/>
  <c r="H61" i="2"/>
  <c r="J61" i="2"/>
  <c r="D62" i="2"/>
  <c r="I62" i="2"/>
  <c r="C62" i="2"/>
  <c r="H62" i="2"/>
  <c r="J62" i="2"/>
  <c r="D63" i="2"/>
  <c r="I63" i="2"/>
  <c r="C63" i="2"/>
  <c r="H63" i="2"/>
  <c r="J63" i="2"/>
  <c r="D64" i="2"/>
  <c r="I64" i="2"/>
  <c r="C64" i="2"/>
  <c r="H64" i="2"/>
  <c r="J64" i="2"/>
  <c r="D65" i="2"/>
  <c r="I65" i="2"/>
  <c r="C65" i="2"/>
  <c r="H65" i="2"/>
  <c r="J65" i="2"/>
  <c r="D66" i="2"/>
  <c r="I66" i="2"/>
  <c r="C66" i="2"/>
  <c r="H66" i="2"/>
  <c r="J66" i="2"/>
  <c r="D67" i="2"/>
  <c r="I67" i="2"/>
  <c r="C67" i="2"/>
  <c r="H67" i="2"/>
  <c r="J67" i="2"/>
  <c r="D72" i="2"/>
  <c r="I72" i="2"/>
  <c r="C72" i="2"/>
  <c r="H72" i="2"/>
  <c r="J72" i="2"/>
  <c r="I74" i="2"/>
  <c r="I73" i="2"/>
  <c r="H74" i="2"/>
  <c r="H73" i="2"/>
  <c r="J73" i="2"/>
  <c r="J74" i="2"/>
  <c r="D75" i="2"/>
  <c r="I75" i="2"/>
  <c r="C75" i="2"/>
  <c r="H75" i="2"/>
  <c r="J75" i="2"/>
  <c r="D76" i="2"/>
  <c r="I76" i="2"/>
  <c r="C76" i="2"/>
  <c r="H76" i="2"/>
  <c r="J76" i="2"/>
  <c r="D77" i="2"/>
  <c r="I77" i="2"/>
  <c r="C77" i="2"/>
  <c r="H77" i="2"/>
  <c r="J77" i="2"/>
  <c r="D78" i="2"/>
  <c r="I78" i="2"/>
  <c r="C78" i="2"/>
  <c r="H78" i="2"/>
  <c r="J78" i="2"/>
  <c r="D79" i="2"/>
  <c r="I79" i="2"/>
  <c r="C79" i="2"/>
  <c r="H79" i="2"/>
  <c r="J79" i="2"/>
  <c r="D80" i="2"/>
  <c r="I80" i="2"/>
  <c r="C80" i="2"/>
  <c r="H80" i="2"/>
  <c r="J80" i="2"/>
  <c r="D81" i="2"/>
  <c r="I81" i="2"/>
  <c r="C81" i="2"/>
  <c r="H81" i="2"/>
  <c r="J81" i="2"/>
  <c r="D82" i="2"/>
  <c r="I82" i="2"/>
  <c r="C82" i="2"/>
  <c r="H82" i="2"/>
  <c r="J82" i="2"/>
  <c r="D83" i="2"/>
  <c r="I83" i="2"/>
  <c r="C83" i="2"/>
  <c r="H83" i="2"/>
  <c r="J83" i="2"/>
  <c r="D84" i="2"/>
  <c r="I84" i="2"/>
  <c r="C84" i="2"/>
  <c r="H84" i="2"/>
  <c r="J84" i="2"/>
  <c r="D85" i="2"/>
  <c r="I85" i="2"/>
  <c r="C85" i="2"/>
  <c r="H85" i="2"/>
  <c r="J85" i="2"/>
  <c r="D86" i="2"/>
  <c r="I86" i="2"/>
  <c r="C86" i="2"/>
  <c r="H86" i="2"/>
  <c r="J86" i="2"/>
  <c r="D87" i="2"/>
  <c r="I87" i="2"/>
  <c r="C87" i="2"/>
  <c r="H87" i="2"/>
  <c r="J87" i="2"/>
  <c r="D88" i="2"/>
  <c r="I88" i="2"/>
  <c r="C88" i="2"/>
  <c r="H88" i="2"/>
  <c r="J88" i="2"/>
  <c r="D89" i="2"/>
  <c r="I89" i="2"/>
  <c r="C89" i="2"/>
  <c r="H89" i="2"/>
  <c r="J89" i="2"/>
  <c r="D90" i="2"/>
  <c r="I90" i="2"/>
  <c r="C90" i="2"/>
  <c r="H90" i="2"/>
  <c r="J90" i="2"/>
  <c r="D92" i="2"/>
  <c r="I92" i="2"/>
  <c r="C92" i="2"/>
  <c r="H92" i="2"/>
  <c r="J92" i="2"/>
  <c r="I93" i="2"/>
  <c r="H93" i="2"/>
  <c r="J93" i="2"/>
  <c r="D94" i="2"/>
  <c r="I94" i="2"/>
  <c r="C94" i="2"/>
  <c r="H94" i="2"/>
  <c r="J94" i="2"/>
  <c r="D95" i="2"/>
  <c r="I95" i="2"/>
  <c r="C95" i="2"/>
  <c r="H95" i="2"/>
  <c r="J95" i="2"/>
  <c r="D96" i="2"/>
  <c r="I96" i="2"/>
  <c r="C96" i="2"/>
  <c r="H96" i="2"/>
  <c r="J96" i="2"/>
  <c r="D97" i="2"/>
  <c r="I97" i="2"/>
  <c r="C97" i="2"/>
  <c r="H97" i="2"/>
  <c r="J97" i="2"/>
  <c r="D98" i="2"/>
  <c r="I98" i="2"/>
  <c r="C98" i="2"/>
  <c r="H98" i="2"/>
  <c r="J98" i="2"/>
  <c r="S35" i="1"/>
  <c r="S12" i="3"/>
  <c r="R12" i="3"/>
  <c r="P12" i="3"/>
  <c r="O12" i="3"/>
  <c r="M12" i="3"/>
  <c r="L12" i="3"/>
  <c r="J12" i="3"/>
  <c r="J16" i="1"/>
  <c r="J17" i="1"/>
  <c r="J18" i="1"/>
  <c r="J19" i="1"/>
  <c r="J20" i="1"/>
  <c r="J21" i="1"/>
  <c r="J22" i="1"/>
  <c r="J23" i="1"/>
  <c r="J24" i="1"/>
  <c r="J13" i="1"/>
  <c r="I12" i="3"/>
  <c r="P29" i="1"/>
  <c r="B44" i="2"/>
  <c r="B45" i="2"/>
  <c r="B46" i="2"/>
  <c r="B47" i="2"/>
  <c r="B48" i="2"/>
  <c r="J56" i="1"/>
  <c r="R90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75" i="1"/>
  <c r="Q90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75" i="1"/>
  <c r="N12" i="3"/>
  <c r="M50" i="1"/>
  <c r="C12" i="3"/>
  <c r="D12" i="3"/>
  <c r="F12" i="3"/>
  <c r="G12" i="3"/>
  <c r="H12" i="3"/>
  <c r="B97" i="2"/>
  <c r="P72" i="1"/>
  <c r="P74" i="1"/>
  <c r="D74" i="2"/>
  <c r="D73" i="2"/>
  <c r="C74" i="2"/>
  <c r="C73" i="2"/>
  <c r="B90" i="2"/>
  <c r="B86" i="2"/>
  <c r="B87" i="2"/>
  <c r="B88" i="2"/>
  <c r="B89" i="2"/>
  <c r="B76" i="2"/>
  <c r="B77" i="2"/>
  <c r="B78" i="2"/>
  <c r="B79" i="2"/>
  <c r="B80" i="2"/>
  <c r="B81" i="2"/>
  <c r="B82" i="2"/>
  <c r="B83" i="2"/>
  <c r="B84" i="2"/>
  <c r="B85" i="2"/>
  <c r="B75" i="2"/>
  <c r="C28" i="2"/>
  <c r="C49" i="2"/>
  <c r="D28" i="2"/>
  <c r="D49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53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M54" i="1"/>
  <c r="P54" i="1"/>
  <c r="P55" i="1"/>
  <c r="P57" i="1"/>
  <c r="N59" i="1"/>
  <c r="M59" i="1"/>
  <c r="M62" i="1"/>
  <c r="M64" i="1"/>
  <c r="P53" i="1"/>
  <c r="U97" i="1"/>
  <c r="U98" i="1"/>
  <c r="U95" i="1"/>
  <c r="U96" i="1"/>
  <c r="U93" i="1"/>
  <c r="U94" i="1"/>
  <c r="U91" i="1"/>
  <c r="U92" i="1"/>
  <c r="U89" i="1"/>
  <c r="U90" i="1"/>
  <c r="U87" i="1"/>
  <c r="U88" i="1"/>
  <c r="U85" i="1"/>
  <c r="U86" i="1"/>
  <c r="U83" i="1"/>
  <c r="U84" i="1"/>
  <c r="U81" i="1"/>
  <c r="U82" i="1"/>
  <c r="U79" i="1"/>
  <c r="U80" i="1"/>
  <c r="U77" i="1"/>
  <c r="U78" i="1"/>
  <c r="U75" i="1"/>
  <c r="U76" i="1"/>
  <c r="U73" i="1"/>
  <c r="U74" i="1"/>
  <c r="U72" i="1"/>
  <c r="U66" i="1"/>
  <c r="U67" i="1"/>
  <c r="U64" i="1"/>
  <c r="U65" i="1"/>
  <c r="U62" i="1"/>
  <c r="U63" i="1"/>
  <c r="U60" i="1"/>
  <c r="U61" i="1"/>
  <c r="U58" i="1"/>
  <c r="U59" i="1"/>
  <c r="U56" i="1"/>
  <c r="U57" i="1"/>
  <c r="U54" i="1"/>
  <c r="U55" i="1"/>
  <c r="U52" i="1"/>
  <c r="U53" i="1"/>
  <c r="U50" i="1"/>
  <c r="U51" i="1"/>
  <c r="U48" i="1"/>
  <c r="U49" i="1"/>
  <c r="U46" i="1"/>
  <c r="U47" i="1"/>
  <c r="U44" i="1"/>
  <c r="U45" i="1"/>
  <c r="U42" i="1"/>
  <c r="U43" i="1"/>
  <c r="U40" i="1"/>
  <c r="U41" i="1"/>
  <c r="U38" i="1"/>
  <c r="U39" i="1"/>
  <c r="U36" i="1"/>
  <c r="U37" i="1"/>
  <c r="U34" i="1"/>
  <c r="U35" i="1"/>
  <c r="U32" i="1"/>
  <c r="U33" i="1"/>
  <c r="U30" i="1"/>
  <c r="U31" i="1"/>
  <c r="U28" i="1"/>
  <c r="U29" i="1"/>
  <c r="U26" i="1"/>
  <c r="U27" i="1"/>
  <c r="U24" i="1"/>
  <c r="U25" i="1"/>
  <c r="U22" i="1"/>
  <c r="U23" i="1"/>
  <c r="U20" i="1"/>
  <c r="U21" i="1"/>
  <c r="U18" i="1"/>
  <c r="U19" i="1"/>
  <c r="U16" i="1"/>
  <c r="U17" i="1"/>
  <c r="U14" i="1"/>
  <c r="U15" i="1"/>
  <c r="I13" i="1"/>
  <c r="I53" i="1"/>
  <c r="I56" i="1"/>
  <c r="I58" i="1"/>
  <c r="I59" i="1"/>
  <c r="I61" i="1"/>
  <c r="I62" i="1"/>
  <c r="I63" i="1"/>
  <c r="I64" i="1"/>
  <c r="I65" i="1"/>
  <c r="I66" i="1"/>
  <c r="I67" i="1"/>
  <c r="I52" i="1"/>
  <c r="I51" i="1"/>
  <c r="I75" i="1"/>
  <c r="I76" i="1"/>
  <c r="M77" i="1"/>
  <c r="I77" i="1"/>
  <c r="M78" i="1"/>
  <c r="I78" i="1"/>
  <c r="I79" i="1"/>
  <c r="I80" i="1"/>
  <c r="I82" i="1"/>
  <c r="I83" i="1"/>
  <c r="I84" i="1"/>
  <c r="I85" i="1"/>
  <c r="I90" i="1"/>
  <c r="I72" i="1"/>
  <c r="I73" i="1"/>
  <c r="I94" i="1"/>
  <c r="I93" i="1"/>
  <c r="I10" i="1"/>
  <c r="M15" i="1"/>
  <c r="O18" i="1"/>
  <c r="O20" i="1"/>
  <c r="O23" i="1"/>
  <c r="N90" i="1"/>
  <c r="M90" i="1"/>
  <c r="M72" i="1"/>
  <c r="M73" i="1"/>
  <c r="M94" i="1"/>
  <c r="M93" i="1"/>
  <c r="M10" i="1"/>
  <c r="M29" i="1"/>
  <c r="I29" i="1"/>
  <c r="I43" i="1"/>
  <c r="I26" i="1"/>
  <c r="I28" i="1"/>
  <c r="I49" i="1"/>
  <c r="M30" i="1"/>
  <c r="M31" i="1"/>
  <c r="M34" i="1"/>
  <c r="M36" i="1"/>
  <c r="M26" i="1"/>
  <c r="M28" i="1"/>
  <c r="M49" i="1"/>
  <c r="I12" i="1"/>
  <c r="M12" i="1"/>
  <c r="I14" i="1"/>
  <c r="M14" i="1"/>
  <c r="I50" i="1"/>
  <c r="I74" i="1"/>
  <c r="M74" i="1"/>
  <c r="I92" i="1"/>
  <c r="M92" i="1"/>
  <c r="I9" i="1"/>
  <c r="M9" i="1"/>
  <c r="G75" i="1"/>
  <c r="H75" i="1"/>
  <c r="H76" i="1"/>
  <c r="H77" i="1"/>
  <c r="G78" i="1"/>
  <c r="H78" i="1"/>
  <c r="H79" i="1"/>
  <c r="G80" i="1"/>
  <c r="H80" i="1"/>
  <c r="H81" i="1"/>
  <c r="H82" i="1"/>
  <c r="H83" i="1"/>
  <c r="H84" i="1"/>
  <c r="H85" i="1"/>
  <c r="H86" i="1"/>
  <c r="H87" i="1"/>
  <c r="G88" i="1"/>
  <c r="H88" i="1"/>
  <c r="H89" i="1"/>
  <c r="H90" i="1"/>
  <c r="H72" i="1"/>
  <c r="J90" i="1"/>
  <c r="J72" i="1"/>
  <c r="K72" i="1"/>
  <c r="L75" i="1"/>
  <c r="L76" i="1"/>
  <c r="L77" i="1"/>
  <c r="L78" i="1"/>
  <c r="L79" i="1"/>
  <c r="L80" i="1"/>
  <c r="L81" i="1"/>
  <c r="L83" i="1"/>
  <c r="L84" i="1"/>
  <c r="L85" i="1"/>
  <c r="L86" i="1"/>
  <c r="L87" i="1"/>
  <c r="L88" i="1"/>
  <c r="L89" i="1"/>
  <c r="L72" i="1"/>
  <c r="N85" i="1"/>
  <c r="N72" i="1"/>
  <c r="O76" i="1"/>
  <c r="O77" i="1"/>
  <c r="O78" i="1"/>
  <c r="O79" i="1"/>
  <c r="O80" i="1"/>
  <c r="O81" i="1"/>
  <c r="O82" i="1"/>
  <c r="O83" i="1"/>
  <c r="O84" i="1"/>
  <c r="O85" i="1"/>
  <c r="O87" i="1"/>
  <c r="O88" i="1"/>
  <c r="O72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Q72" i="1"/>
  <c r="R72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72" i="1"/>
  <c r="T72" i="1"/>
  <c r="G72" i="1"/>
  <c r="G56" i="1"/>
  <c r="S45" i="1"/>
  <c r="S29" i="1"/>
  <c r="Q15" i="1"/>
  <c r="R15" i="1"/>
  <c r="S15" i="1"/>
  <c r="G11" i="2"/>
  <c r="G12" i="2"/>
  <c r="G13" i="2"/>
  <c r="G14" i="2"/>
  <c r="F11" i="2"/>
  <c r="F12" i="2"/>
  <c r="F13" i="2"/>
  <c r="F14" i="2"/>
  <c r="E11" i="2"/>
  <c r="E12" i="2"/>
  <c r="E13" i="2"/>
  <c r="E14" i="2"/>
  <c r="C13" i="2"/>
  <c r="C14" i="2"/>
  <c r="A14" i="2"/>
  <c r="A13" i="2"/>
  <c r="G15" i="2"/>
  <c r="G16" i="2"/>
  <c r="G17" i="2"/>
  <c r="G18" i="2"/>
  <c r="G19" i="2"/>
  <c r="G20" i="2"/>
  <c r="G21" i="2"/>
  <c r="G22" i="2"/>
  <c r="G23" i="2"/>
  <c r="G24" i="2"/>
  <c r="F15" i="2"/>
  <c r="F16" i="2"/>
  <c r="F17" i="2"/>
  <c r="F18" i="2"/>
  <c r="F19" i="2"/>
  <c r="F20" i="2"/>
  <c r="F21" i="2"/>
  <c r="F22" i="2"/>
  <c r="F23" i="2"/>
  <c r="F24" i="2"/>
  <c r="E15" i="2"/>
  <c r="E16" i="2"/>
  <c r="E17" i="2"/>
  <c r="E18" i="2"/>
  <c r="E19" i="2"/>
  <c r="E20" i="2"/>
  <c r="E21" i="2"/>
  <c r="E22" i="2"/>
  <c r="E23" i="2"/>
  <c r="E24" i="2"/>
  <c r="A25" i="2"/>
  <c r="B16" i="2"/>
  <c r="B17" i="2"/>
  <c r="B18" i="2"/>
  <c r="B19" i="2"/>
  <c r="B20" i="2"/>
  <c r="B21" i="2"/>
  <c r="B22" i="2"/>
  <c r="B23" i="2"/>
  <c r="B24" i="2"/>
  <c r="B15" i="2"/>
  <c r="A16" i="2"/>
  <c r="A17" i="2"/>
  <c r="A18" i="2"/>
  <c r="A19" i="2"/>
  <c r="A20" i="2"/>
  <c r="A21" i="2"/>
  <c r="A22" i="2"/>
  <c r="A23" i="2"/>
  <c r="A24" i="2"/>
  <c r="A15" i="2"/>
  <c r="A12" i="2"/>
  <c r="G95" i="1"/>
  <c r="H95" i="1"/>
  <c r="G96" i="1"/>
  <c r="H96" i="1"/>
  <c r="H97" i="1"/>
  <c r="H94" i="1"/>
  <c r="H93" i="1"/>
  <c r="J94" i="1"/>
  <c r="J93" i="1"/>
  <c r="K94" i="1"/>
  <c r="K93" i="1"/>
  <c r="L95" i="1"/>
  <c r="L96" i="1"/>
  <c r="L97" i="1"/>
  <c r="L94" i="1"/>
  <c r="L93" i="1"/>
  <c r="N94" i="1"/>
  <c r="N93" i="1"/>
  <c r="O95" i="1"/>
  <c r="O96" i="1"/>
  <c r="O97" i="1"/>
  <c r="O94" i="1"/>
  <c r="O93" i="1"/>
  <c r="P95" i="1"/>
  <c r="P96" i="1"/>
  <c r="P97" i="1"/>
  <c r="P94" i="1"/>
  <c r="P93" i="1"/>
  <c r="Q94" i="1"/>
  <c r="Q93" i="1"/>
  <c r="R94" i="1"/>
  <c r="R93" i="1"/>
  <c r="S97" i="1"/>
  <c r="S95" i="1"/>
  <c r="S96" i="1"/>
  <c r="S94" i="1"/>
  <c r="S93" i="1"/>
  <c r="T94" i="1"/>
  <c r="T93" i="1"/>
  <c r="G94" i="1"/>
  <c r="G93" i="1"/>
  <c r="H53" i="1"/>
  <c r="H66" i="1"/>
  <c r="H54" i="1"/>
  <c r="H55" i="1"/>
  <c r="H56" i="1"/>
  <c r="H57" i="1"/>
  <c r="H59" i="1"/>
  <c r="H61" i="1"/>
  <c r="H63" i="1"/>
  <c r="H64" i="1"/>
  <c r="H58" i="1"/>
  <c r="H60" i="1"/>
  <c r="H62" i="1"/>
  <c r="H65" i="1"/>
  <c r="H67" i="1"/>
  <c r="H52" i="1"/>
  <c r="H51" i="1"/>
  <c r="H73" i="1"/>
  <c r="H15" i="1"/>
  <c r="H16" i="1"/>
  <c r="H17" i="1"/>
  <c r="H18" i="1"/>
  <c r="H19" i="1"/>
  <c r="H20" i="1"/>
  <c r="H21" i="1"/>
  <c r="H22" i="1"/>
  <c r="H24" i="1"/>
  <c r="H13" i="1"/>
  <c r="H10" i="1"/>
  <c r="H29" i="1"/>
  <c r="H30" i="1"/>
  <c r="H31" i="1"/>
  <c r="H32" i="1"/>
  <c r="H33" i="1"/>
  <c r="G34" i="1"/>
  <c r="H34" i="1"/>
  <c r="H35" i="1"/>
  <c r="H36" i="1"/>
  <c r="H37" i="1"/>
  <c r="H38" i="1"/>
  <c r="H39" i="1"/>
  <c r="H40" i="1"/>
  <c r="H41" i="1"/>
  <c r="H42" i="1"/>
  <c r="H43" i="1"/>
  <c r="H44" i="1"/>
  <c r="H26" i="1"/>
  <c r="H28" i="1"/>
  <c r="H49" i="1"/>
  <c r="H9" i="1"/>
  <c r="J73" i="1"/>
  <c r="J15" i="1"/>
  <c r="L18" i="1"/>
  <c r="L20" i="1"/>
  <c r="J62" i="1"/>
  <c r="J26" i="1"/>
  <c r="J28" i="1"/>
  <c r="J49" i="1"/>
  <c r="K73" i="1"/>
  <c r="K13" i="1"/>
  <c r="K52" i="1"/>
  <c r="K51" i="1"/>
  <c r="K10" i="1"/>
  <c r="K26" i="1"/>
  <c r="K28" i="1"/>
  <c r="K49" i="1"/>
  <c r="K9" i="1"/>
  <c r="L73" i="1"/>
  <c r="L13" i="1"/>
  <c r="L53" i="1"/>
  <c r="L54" i="1"/>
  <c r="L55" i="1"/>
  <c r="L57" i="1"/>
  <c r="L58" i="1"/>
  <c r="L59" i="1"/>
  <c r="L61" i="1"/>
  <c r="L63" i="1"/>
  <c r="L65" i="1"/>
  <c r="L66" i="1"/>
  <c r="L67" i="1"/>
  <c r="L29" i="1"/>
  <c r="L30" i="1"/>
  <c r="L31" i="1"/>
  <c r="L32" i="1"/>
  <c r="L33" i="1"/>
  <c r="L35" i="1"/>
  <c r="L36" i="1"/>
  <c r="L37" i="1"/>
  <c r="L38" i="1"/>
  <c r="L39" i="1"/>
  <c r="L40" i="1"/>
  <c r="L41" i="1"/>
  <c r="L42" i="1"/>
  <c r="L43" i="1"/>
  <c r="L44" i="1"/>
  <c r="L26" i="1"/>
  <c r="L28" i="1"/>
  <c r="L49" i="1"/>
  <c r="N73" i="1"/>
  <c r="N52" i="1"/>
  <c r="N51" i="1"/>
  <c r="N13" i="1"/>
  <c r="N10" i="1"/>
  <c r="N34" i="1"/>
  <c r="N43" i="1"/>
  <c r="N26" i="1"/>
  <c r="N28" i="1"/>
  <c r="N49" i="1"/>
  <c r="N9" i="1"/>
  <c r="O73" i="1"/>
  <c r="O63" i="1"/>
  <c r="O31" i="1"/>
  <c r="O32" i="1"/>
  <c r="O33" i="1"/>
  <c r="O34" i="1"/>
  <c r="O35" i="1"/>
  <c r="O37" i="1"/>
  <c r="O38" i="1"/>
  <c r="O39" i="1"/>
  <c r="O40" i="1"/>
  <c r="O41" i="1"/>
  <c r="O42" i="1"/>
  <c r="O43" i="1"/>
  <c r="O44" i="1"/>
  <c r="O45" i="1"/>
  <c r="O46" i="1"/>
  <c r="O47" i="1"/>
  <c r="O48" i="1"/>
  <c r="O26" i="1"/>
  <c r="O28" i="1"/>
  <c r="O49" i="1"/>
  <c r="P28" i="1"/>
  <c r="P49" i="1"/>
  <c r="Q73" i="1"/>
  <c r="Q26" i="1"/>
  <c r="Q28" i="1"/>
  <c r="Q49" i="1"/>
  <c r="R73" i="1"/>
  <c r="R26" i="1"/>
  <c r="R28" i="1"/>
  <c r="R49" i="1"/>
  <c r="S26" i="1"/>
  <c r="S28" i="1"/>
  <c r="S49" i="1"/>
  <c r="T52" i="1"/>
  <c r="T51" i="1"/>
  <c r="T73" i="1"/>
  <c r="U13" i="1"/>
  <c r="U10" i="1"/>
  <c r="U11" i="1"/>
  <c r="U9" i="1"/>
  <c r="G52" i="1"/>
  <c r="G51" i="1"/>
  <c r="G73" i="1"/>
  <c r="G13" i="1"/>
  <c r="G10" i="1"/>
  <c r="G26" i="1"/>
  <c r="G28" i="1"/>
  <c r="G49" i="1"/>
  <c r="G9" i="1"/>
  <c r="S53" i="1"/>
  <c r="S54" i="1"/>
  <c r="S55" i="1"/>
  <c r="S56" i="1"/>
  <c r="S57" i="1"/>
  <c r="S58" i="1"/>
  <c r="S60" i="1"/>
  <c r="S61" i="1"/>
  <c r="S62" i="1"/>
  <c r="S63" i="1"/>
  <c r="S64" i="1"/>
  <c r="S65" i="1"/>
  <c r="S66" i="1"/>
  <c r="S67" i="1"/>
  <c r="H50" i="1"/>
  <c r="K50" i="1"/>
  <c r="N50" i="1"/>
  <c r="T50" i="1"/>
  <c r="G50" i="1"/>
  <c r="P73" i="1"/>
  <c r="S73" i="1"/>
  <c r="Q92" i="1"/>
  <c r="R92" i="1"/>
  <c r="S92" i="1"/>
  <c r="T92" i="1"/>
  <c r="H92" i="1"/>
  <c r="J92" i="1"/>
  <c r="K92" i="1"/>
  <c r="L92" i="1"/>
  <c r="N92" i="1"/>
  <c r="O92" i="1"/>
  <c r="P92" i="1"/>
  <c r="G92" i="1"/>
  <c r="O53" i="1"/>
  <c r="O58" i="1"/>
  <c r="O60" i="1"/>
  <c r="O67" i="1"/>
  <c r="O62" i="1"/>
  <c r="H14" i="1"/>
  <c r="J14" i="1"/>
  <c r="K14" i="1"/>
  <c r="L14" i="1"/>
  <c r="N14" i="1"/>
  <c r="O13" i="1"/>
  <c r="O14" i="1"/>
  <c r="Q13" i="1"/>
  <c r="Q14" i="1"/>
  <c r="R13" i="1"/>
  <c r="R14" i="1"/>
  <c r="G14" i="1"/>
  <c r="H12" i="1"/>
  <c r="J12" i="1"/>
  <c r="K12" i="1"/>
  <c r="L12" i="1"/>
  <c r="N12" i="1"/>
  <c r="O12" i="1"/>
  <c r="Q12" i="1"/>
  <c r="R12" i="1"/>
  <c r="G12" i="1"/>
  <c r="O54" i="1"/>
  <c r="O55" i="1"/>
  <c r="O57" i="1"/>
  <c r="O61" i="1"/>
  <c r="O65" i="1"/>
  <c r="O66" i="1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H74" i="1"/>
  <c r="J74" i="1"/>
  <c r="K74" i="1"/>
  <c r="L74" i="1"/>
  <c r="N74" i="1"/>
  <c r="O74" i="1"/>
  <c r="Q74" i="1"/>
  <c r="R74" i="1"/>
  <c r="S74" i="1"/>
  <c r="T74" i="1"/>
  <c r="G74" i="1"/>
  <c r="P85" i="2"/>
  <c r="O85" i="2"/>
  <c r="N85" i="2"/>
  <c r="M85" i="2"/>
  <c r="L85" i="2"/>
  <c r="K85" i="2"/>
  <c r="G72" i="2"/>
  <c r="F72" i="2"/>
  <c r="E72" i="2"/>
  <c r="K84" i="2"/>
  <c r="L84" i="2"/>
  <c r="M84" i="2"/>
  <c r="N84" i="2"/>
  <c r="O84" i="2"/>
  <c r="P84" i="2"/>
  <c r="A72" i="2"/>
  <c r="A73" i="2"/>
  <c r="P41" i="2"/>
  <c r="O41" i="2"/>
  <c r="N41" i="2"/>
  <c r="M41" i="2"/>
  <c r="L41" i="2"/>
  <c r="K41" i="2"/>
  <c r="G28" i="2"/>
  <c r="F28" i="2"/>
  <c r="E28" i="2"/>
  <c r="B29" i="2"/>
  <c r="D11" i="2"/>
  <c r="I11" i="2"/>
  <c r="C11" i="2"/>
  <c r="H11" i="2"/>
  <c r="A26" i="2"/>
  <c r="C93" i="2"/>
  <c r="D93" i="2"/>
  <c r="E93" i="2"/>
  <c r="F93" i="2"/>
  <c r="G93" i="2"/>
  <c r="A94" i="2"/>
  <c r="A92" i="2"/>
  <c r="B95" i="2"/>
  <c r="B96" i="2"/>
  <c r="B98" i="2"/>
  <c r="A74" i="2"/>
  <c r="A28" i="2"/>
  <c r="A52" i="2"/>
  <c r="A51" i="2"/>
  <c r="A50" i="2"/>
  <c r="D13" i="2"/>
  <c r="D14" i="2"/>
  <c r="S13" i="1"/>
  <c r="P14" i="1"/>
  <c r="S14" i="1"/>
  <c r="P12" i="1"/>
  <c r="S12" i="1"/>
  <c r="O52" i="1"/>
  <c r="O51" i="1"/>
  <c r="O10" i="1"/>
  <c r="O9" i="1"/>
  <c r="Q52" i="1"/>
  <c r="Q51" i="1"/>
  <c r="Q10" i="1"/>
  <c r="Q9" i="1"/>
  <c r="R52" i="1"/>
  <c r="R51" i="1"/>
  <c r="R10" i="1"/>
  <c r="R9" i="1"/>
  <c r="O50" i="1"/>
  <c r="P50" i="1"/>
  <c r="Q50" i="1"/>
  <c r="R50" i="1"/>
  <c r="S59" i="1"/>
  <c r="S52" i="1"/>
  <c r="S50" i="1"/>
  <c r="C50" i="2"/>
  <c r="D50" i="2"/>
  <c r="C10" i="2"/>
  <c r="H10" i="2"/>
  <c r="C9" i="2"/>
  <c r="H9" i="2"/>
  <c r="S51" i="1"/>
  <c r="S10" i="1"/>
  <c r="S9" i="1"/>
  <c r="P10" i="1"/>
  <c r="D10" i="2"/>
  <c r="I10" i="2"/>
  <c r="P9" i="1"/>
  <c r="D9" i="2"/>
  <c r="I9" i="2"/>
  <c r="J60" i="1"/>
  <c r="J64" i="1"/>
  <c r="J52" i="1"/>
  <c r="J50" i="1"/>
  <c r="T12" i="3"/>
  <c r="J51" i="1"/>
  <c r="J10" i="1"/>
  <c r="J9" i="1"/>
  <c r="L52" i="1"/>
  <c r="L51" i="1"/>
  <c r="L10" i="1"/>
  <c r="L9" i="1"/>
  <c r="L50" i="1"/>
</calcChain>
</file>

<file path=xl/sharedStrings.xml><?xml version="1.0" encoding="utf-8"?>
<sst xmlns="http://schemas.openxmlformats.org/spreadsheetml/2006/main" count="468" uniqueCount="169">
  <si>
    <t>по переселению граждан из аварийного жилищного фонда</t>
  </si>
  <si>
    <t>Перечень аварийных многоквартирных домов</t>
  </si>
  <si>
    <t>№ п/п</t>
  </si>
  <si>
    <t>Планируемая дата сноса / реконструкции МКД</t>
  </si>
  <si>
    <t>Число жителей всего</t>
  </si>
  <si>
    <t>Стоимость переселения граждан</t>
  </si>
  <si>
    <t>Всего</t>
  </si>
  <si>
    <t>в том числе</t>
  </si>
  <si>
    <t>Всего:</t>
  </si>
  <si>
    <t>в том числе:</t>
  </si>
  <si>
    <t>Дата</t>
  </si>
  <si>
    <t>чел.</t>
  </si>
  <si>
    <t>кв.м</t>
  </si>
  <si>
    <t>ед.</t>
  </si>
  <si>
    <t>руб.</t>
  </si>
  <si>
    <t>Всего  по этапу 2014 года , в т.ч.:</t>
  </si>
  <si>
    <t xml:space="preserve">Документ,подтверждающий признание МКД </t>
  </si>
  <si>
    <t>Адрес МКД</t>
  </si>
  <si>
    <t>Планируемая дата  окончания переселения</t>
  </si>
  <si>
    <t>Число жителей планируемых к переселению</t>
  </si>
  <si>
    <t>Общая площадь жилыхпомещений МКД</t>
  </si>
  <si>
    <t>Количество расселяемых жилых помещений</t>
  </si>
  <si>
    <t>Расселяемая площадь жилых помещений</t>
  </si>
  <si>
    <t>частная собственность</t>
  </si>
  <si>
    <t>муниципальная собственность</t>
  </si>
  <si>
    <t>за счет средств областного бюджета Новосибирской области</t>
  </si>
  <si>
    <t>за счет средств местного бюджета</t>
  </si>
  <si>
    <t>№</t>
  </si>
  <si>
    <t>Реестр аварийных многоквартирных домов по способам переселения</t>
  </si>
  <si>
    <t>Строительство МКД</t>
  </si>
  <si>
    <t xml:space="preserve">Стоимость </t>
  </si>
  <si>
    <t>Площадь</t>
  </si>
  <si>
    <t>Стоимость</t>
  </si>
  <si>
    <t>Удельная стоимость 1 кв.м</t>
  </si>
  <si>
    <t>кв. м</t>
  </si>
  <si>
    <t>Приобретение жилых помещений у застройщиков</t>
  </si>
  <si>
    <t xml:space="preserve">Приобретение жилых помещений улиц, не являющихся застройщиком </t>
  </si>
  <si>
    <t>Выкуп жилых помещений у собственников</t>
  </si>
  <si>
    <t xml:space="preserve">Планируемые показатели выполнения региональной адресной программы </t>
  </si>
  <si>
    <t>Наименование МО</t>
  </si>
  <si>
    <t>Расселенная площадь</t>
  </si>
  <si>
    <t>Количество расселенных помещений</t>
  </si>
  <si>
    <t>Количество переселенных жителей</t>
  </si>
  <si>
    <t>2014 г.</t>
  </si>
  <si>
    <t>2015 г.</t>
  </si>
  <si>
    <t>2016 г.</t>
  </si>
  <si>
    <t>2017 г.</t>
  </si>
  <si>
    <t>Итого по программе:</t>
  </si>
  <si>
    <t>б/н</t>
  </si>
  <si>
    <t>21.02.2004</t>
  </si>
  <si>
    <t>город Обь улица Горького дом 38</t>
  </si>
  <si>
    <t>город Обь улица Горького дом 55</t>
  </si>
  <si>
    <t>город Обь улица Станционная  дом 7</t>
  </si>
  <si>
    <t>город Обь улица 2-я Северная дом 74</t>
  </si>
  <si>
    <t>город Обь улица 3316 км дом 1</t>
  </si>
  <si>
    <t>город Обь улица 3316 км дом 2</t>
  </si>
  <si>
    <t>город Обь улица 3316 км дом 3</t>
  </si>
  <si>
    <t>город Обь улица 3316 км дом 4</t>
  </si>
  <si>
    <t>город Обь улица 3316 км дом 5</t>
  </si>
  <si>
    <t>город Обь улица Сигнальная дом 6</t>
  </si>
  <si>
    <t>город Обь улица Сигнальная дом 10</t>
  </si>
  <si>
    <t>город Обь улица Сигнальная дом 12</t>
  </si>
  <si>
    <t>город Обь улица Сигнальная дом 14</t>
  </si>
  <si>
    <t>город Обь улица Сигнальная дом 16</t>
  </si>
  <si>
    <t>город Обь улица Военный городок 17</t>
  </si>
  <si>
    <t>город Обь улица Военный городок 20</t>
  </si>
  <si>
    <t>город Обь улица Военный городок 28</t>
  </si>
  <si>
    <t>город Обь улица Шевченко дом 18</t>
  </si>
  <si>
    <t>город Обь улица Кирова дом 9</t>
  </si>
  <si>
    <t>город Обь улица Кирова дом 13</t>
  </si>
  <si>
    <t>город Обь улица Кирова дом 16</t>
  </si>
  <si>
    <t>город Обь улица Кирова дом 17</t>
  </si>
  <si>
    <t>город Обь улица Кирова дом 20 кв.2</t>
  </si>
  <si>
    <t>город Обь улица Кирова дом 21</t>
  </si>
  <si>
    <t>город Обь улица Кирова дом 25</t>
  </si>
  <si>
    <t>город Обь улица Кирова дом 27</t>
  </si>
  <si>
    <t>город Обь улица Кирова дом 28</t>
  </si>
  <si>
    <t>город Обь улица Кирова дом 30</t>
  </si>
  <si>
    <t>Всего  по этапу 2015 года , в т.ч.:</t>
  </si>
  <si>
    <t>Всего  по этапу 2016 года , в т.ч.:</t>
  </si>
  <si>
    <t>город Обь улица Шевченко дом 8</t>
  </si>
  <si>
    <t>город Обь улица Шевченко дом 10</t>
  </si>
  <si>
    <t>город Обь улица Шевченко дом 12</t>
  </si>
  <si>
    <t>город Обь улица Шевченко дом 14</t>
  </si>
  <si>
    <t>город Обь улица Шевченко дом 16</t>
  </si>
  <si>
    <t>город Обь улица Станционная дом 2</t>
  </si>
  <si>
    <t>город Обь улица Строительная дом 33</t>
  </si>
  <si>
    <t>город Обь улица Строительная дом 35</t>
  </si>
  <si>
    <t>город Обь улица Строительная дом 37</t>
  </si>
  <si>
    <t>город Обь улица Строительная дом 39</t>
  </si>
  <si>
    <t>город Обь улица Строительная дом 41</t>
  </si>
  <si>
    <t>город Обь улица Шевченко дом 20</t>
  </si>
  <si>
    <t>город Обь улица Заводская дом 2</t>
  </si>
  <si>
    <t>город Обь улица Заводская дом 6</t>
  </si>
  <si>
    <t>город Обь улица Кирова дом 14</t>
  </si>
  <si>
    <t>город Обь улица Кирова дом 15</t>
  </si>
  <si>
    <t>город Обь улица Кирова дом 18</t>
  </si>
  <si>
    <t>город Обь улица Кирова дом 19</t>
  </si>
  <si>
    <t>город Обь улица Вокзальная дом 38</t>
  </si>
  <si>
    <t>город Обь улица Береговая дом 112</t>
  </si>
  <si>
    <t>город Обь улица О.Кошевого дом 22</t>
  </si>
  <si>
    <t>город Обь улица О.Кошевого дом 35</t>
  </si>
  <si>
    <t>Итого по городу Обь</t>
  </si>
  <si>
    <t>город Обь</t>
  </si>
  <si>
    <t>за счет средств Фонда</t>
  </si>
  <si>
    <t>24.02.2004</t>
  </si>
  <si>
    <t>25.02.2004</t>
  </si>
  <si>
    <t>22.02.2004</t>
  </si>
  <si>
    <t>Всего  по этапу 2017 года , в т.ч.:</t>
  </si>
  <si>
    <t>Всего по этапу 2017 года  без финансовой поддержкой Фонда</t>
  </si>
  <si>
    <t>Внебюджетные источники финансирования</t>
  </si>
  <si>
    <t>Дополнительные источники финансирования</t>
  </si>
  <si>
    <t xml:space="preserve">Всего  по субъекту 2014 года с финансовой поддержкой Фонда </t>
  </si>
  <si>
    <t xml:space="preserve">Всего  по этапу 2014 года без финансовой поддержкой Фонда </t>
  </si>
  <si>
    <t xml:space="preserve">Всего  по этапу 2016 года без финансовой поддержкой Фонда </t>
  </si>
  <si>
    <t>Всего по  этапу 2017 года с финансовой поддержки Фонда</t>
  </si>
  <si>
    <t xml:space="preserve">Всего  по этапу 2017 года без финансовой поддержкой Фонда </t>
  </si>
  <si>
    <t xml:space="preserve">Всего по этапу 2014 года,  с финансовой поддержки Фонда </t>
  </si>
  <si>
    <t xml:space="preserve">Всего по этапу 2014 года,   без  финансовой поддержки Фонда </t>
  </si>
  <si>
    <t>Всего по этапу 2015 года,  с финансовой поддержкой Фонда</t>
  </si>
  <si>
    <t>Всего по этапу 2015 года,  без финансовой поддержкой Фонда</t>
  </si>
  <si>
    <t>Всего по этапу 2016 года,  с финансовой поддержкой Фонда</t>
  </si>
  <si>
    <t>Всего по этапу 2016 года,  без финансовой поддержкой Фонда</t>
  </si>
  <si>
    <t>Всего по этапу 2017 года,  с финансовой поддержкой Фонда</t>
  </si>
  <si>
    <t>Всего  по городу Обь 2013-2017 годы, в т.ч.:</t>
  </si>
  <si>
    <t>Всего  по этапу 2013 года , в т.ч.:</t>
  </si>
  <si>
    <t xml:space="preserve">Всего по этапу 2013 года,  с финансовой поддержки Фонда </t>
  </si>
  <si>
    <t xml:space="preserve">Всего по этапу 2013 года,   без  финансовой поддержки Фонда </t>
  </si>
  <si>
    <t>Всего  по городу 2013-2017 годы, с финансовой поддержкой Фонда</t>
  </si>
  <si>
    <t>Всего  по городу 2013-2017 годы, без финансовой поддержки  Фонда</t>
  </si>
  <si>
    <t>Всего по городу Обь</t>
  </si>
  <si>
    <t>город Обь улица Сигнальная  дом 10</t>
  </si>
  <si>
    <t>город Обь улица Садовая дом 24</t>
  </si>
  <si>
    <t>город Обь улица Садовая дом 26</t>
  </si>
  <si>
    <t>город Обь улица Садовая дом 30</t>
  </si>
  <si>
    <t>город Обь улица Садовая дом 21</t>
  </si>
  <si>
    <t>город Обь улица Чехова дом 52</t>
  </si>
  <si>
    <t>город Обь улица Горького дом 40</t>
  </si>
  <si>
    <t>город Обь улица Горького дом 57</t>
  </si>
  <si>
    <t>город Обь улица Горького дом 59</t>
  </si>
  <si>
    <t>город Обь улица Калинина дом 68</t>
  </si>
  <si>
    <t>город Обь улица Калинина дом 70</t>
  </si>
  <si>
    <t>IV. 2014</t>
  </si>
  <si>
    <t>I. 2015</t>
  </si>
  <si>
    <t>IV. 2015</t>
  </si>
  <si>
    <t>I. 2016</t>
  </si>
  <si>
    <t>IV. 2016</t>
  </si>
  <si>
    <t>I. 2017</t>
  </si>
  <si>
    <t>III. 2017</t>
  </si>
  <si>
    <t>IV. 2017</t>
  </si>
  <si>
    <t>Глава города Обь</t>
  </si>
  <si>
    <t>60</t>
  </si>
  <si>
    <t>0</t>
  </si>
  <si>
    <t>16</t>
  </si>
  <si>
    <t>15</t>
  </si>
  <si>
    <t>3</t>
  </si>
  <si>
    <t>Всего  по городу 2013-2017 годы, в т.ч.:</t>
  </si>
  <si>
    <t xml:space="preserve">Всего  по городу 2013-2017 годы, с финансовой поддержкой Фонда </t>
  </si>
  <si>
    <t xml:space="preserve">Всего  по городу 2013-2017 годы, без финансовой поддержки  Фонда </t>
  </si>
  <si>
    <t xml:space="preserve">А.А. Мозжерин </t>
  </si>
  <si>
    <t xml:space="preserve">Всего  по этапу 2015 года без финансовой поддержкой Фонда </t>
  </si>
  <si>
    <t>2013 г.</t>
  </si>
  <si>
    <t>Приложение 2 к постановлению от_______________№_________</t>
  </si>
  <si>
    <t>город Обь улица Пушкина дом 7</t>
  </si>
  <si>
    <t>город Обь улица Железнодорожная дом 10</t>
  </si>
  <si>
    <t>09.12.2013</t>
  </si>
  <si>
    <t>05.02.2013</t>
  </si>
  <si>
    <t>Приложение 3 к постановлению от_______________№_________</t>
  </si>
  <si>
    <t>Приложение 4 к постановлению от_______________№_________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</si>
</sst>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left" vertical="center" textRotation="90"/>
    </xf>
    <xf numFmtId="4" fontId="2" fillId="0" borderId="1" xfId="0" applyNumberFormat="1" applyFont="1" applyBorder="1" applyAlignment="1">
      <alignment vertical="center" textRotation="90"/>
    </xf>
    <xf numFmtId="4" fontId="2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justify" vertical="center"/>
    </xf>
    <xf numFmtId="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vertical="center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 applyAlignment="1">
      <alignment horizontal="left" vertical="center" textRotation="90"/>
    </xf>
    <xf numFmtId="1" fontId="2" fillId="0" borderId="1" xfId="0" applyNumberFormat="1" applyFont="1" applyBorder="1" applyAlignment="1">
      <alignment vertical="center" textRotation="90"/>
    </xf>
    <xf numFmtId="1" fontId="3" fillId="0" borderId="0" xfId="0" applyNumberFormat="1" applyFont="1" applyAlignment="1">
      <alignment horizontal="right" vertical="center"/>
    </xf>
    <xf numFmtId="1" fontId="2" fillId="0" borderId="1" xfId="0" applyNumberFormat="1" applyFont="1" applyBorder="1" applyAlignment="1">
      <alignment horizontal="justify" vertical="center"/>
    </xf>
    <xf numFmtId="1" fontId="2" fillId="0" borderId="1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left"/>
    </xf>
    <xf numFmtId="4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justify" vertical="center" wrapText="1"/>
    </xf>
    <xf numFmtId="4" fontId="3" fillId="0" borderId="0" xfId="0" applyNumberFormat="1" applyFont="1"/>
    <xf numFmtId="4" fontId="2" fillId="0" borderId="4" xfId="0" applyNumberFormat="1" applyFont="1" applyBorder="1" applyAlignment="1">
      <alignment horizontal="left" vertical="center" wrapText="1"/>
    </xf>
    <xf numFmtId="4" fontId="2" fillId="0" borderId="0" xfId="0" applyNumberFormat="1" applyFont="1" applyFill="1" applyBorder="1"/>
    <xf numFmtId="1" fontId="2" fillId="0" borderId="0" xfId="0" applyNumberFormat="1" applyFont="1" applyFill="1" applyBorder="1"/>
    <xf numFmtId="4" fontId="2" fillId="0" borderId="0" xfId="0" applyNumberFormat="1" applyFont="1" applyFill="1"/>
    <xf numFmtId="49" fontId="2" fillId="0" borderId="0" xfId="0" applyNumberFormat="1" applyFont="1" applyFill="1"/>
    <xf numFmtId="1" fontId="2" fillId="0" borderId="3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/>
    <xf numFmtId="49" fontId="2" fillId="2" borderId="0" xfId="0" applyNumberFormat="1" applyFont="1" applyFill="1"/>
    <xf numFmtId="1" fontId="2" fillId="2" borderId="0" xfId="0" applyNumberFormat="1" applyFont="1" applyFill="1"/>
    <xf numFmtId="3" fontId="2" fillId="2" borderId="0" xfId="0" applyNumberFormat="1" applyFont="1" applyFill="1"/>
    <xf numFmtId="2" fontId="2" fillId="2" borderId="0" xfId="0" applyNumberFormat="1" applyFont="1" applyFill="1"/>
    <xf numFmtId="4" fontId="5" fillId="2" borderId="0" xfId="0" applyNumberFormat="1" applyFont="1" applyFill="1" applyBorder="1"/>
    <xf numFmtId="4" fontId="5" fillId="2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textRotation="90" wrapText="1"/>
    </xf>
    <xf numFmtId="2" fontId="2" fillId="2" borderId="1" xfId="0" applyNumberFormat="1" applyFont="1" applyFill="1" applyBorder="1" applyAlignment="1">
      <alignment vertical="center" textRotation="90"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/>
    <xf numFmtId="1" fontId="5" fillId="2" borderId="0" xfId="0" applyNumberFormat="1" applyFont="1" applyFill="1" applyBorder="1"/>
    <xf numFmtId="1" fontId="5" fillId="2" borderId="0" xfId="0" applyNumberFormat="1" applyFont="1" applyFill="1"/>
    <xf numFmtId="4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Border="1"/>
    <xf numFmtId="4" fontId="1" fillId="2" borderId="0" xfId="0" applyNumberFormat="1" applyFont="1" applyFill="1"/>
    <xf numFmtId="0" fontId="7" fillId="2" borderId="1" xfId="0" applyFont="1" applyFill="1" applyBorder="1"/>
    <xf numFmtId="0" fontId="4" fillId="2" borderId="1" xfId="0" applyFont="1" applyFill="1" applyBorder="1" applyAlignment="1"/>
    <xf numFmtId="0" fontId="7" fillId="2" borderId="1" xfId="0" applyFont="1" applyFill="1" applyBorder="1" applyAlignment="1">
      <alignment horizontal="center"/>
    </xf>
    <xf numFmtId="14" fontId="7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/>
    </xf>
    <xf numFmtId="14" fontId="4" fillId="2" borderId="1" xfId="0" applyNumberFormat="1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/>
    <xf numFmtId="4" fontId="6" fillId="2" borderId="0" xfId="0" applyNumberFormat="1" applyFont="1" applyFill="1"/>
    <xf numFmtId="4" fontId="2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4" fontId="4" fillId="2" borderId="4" xfId="0" applyNumberFormat="1" applyFont="1" applyFill="1" applyBorder="1" applyAlignment="1">
      <alignment horizontal="left" wrapText="1"/>
    </xf>
    <xf numFmtId="4" fontId="4" fillId="2" borderId="1" xfId="0" applyNumberFormat="1" applyFont="1" applyFill="1" applyBorder="1" applyAlignment="1">
      <alignment horizontal="left" vertical="top" wrapText="1"/>
    </xf>
    <xf numFmtId="4" fontId="5" fillId="2" borderId="0" xfId="0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/>
    </xf>
    <xf numFmtId="4" fontId="5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/>
    <xf numFmtId="3" fontId="5" fillId="2" borderId="0" xfId="0" applyNumberFormat="1" applyFont="1" applyFill="1"/>
    <xf numFmtId="2" fontId="5" fillId="2" borderId="0" xfId="0" applyNumberFormat="1" applyFont="1" applyFill="1"/>
    <xf numFmtId="49" fontId="5" fillId="2" borderId="0" xfId="0" applyNumberFormat="1" applyFont="1" applyFill="1"/>
    <xf numFmtId="4" fontId="5" fillId="2" borderId="2" xfId="0" applyNumberFormat="1" applyFont="1" applyFill="1" applyBorder="1"/>
    <xf numFmtId="1" fontId="5" fillId="2" borderId="2" xfId="0" applyNumberFormat="1" applyFont="1" applyFill="1" applyBorder="1"/>
    <xf numFmtId="1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1" fontId="2" fillId="2" borderId="0" xfId="0" applyNumberFormat="1" applyFont="1" applyFill="1" applyBorder="1"/>
    <xf numFmtId="1" fontId="2" fillId="2" borderId="1" xfId="0" applyNumberFormat="1" applyFont="1" applyFill="1" applyBorder="1" applyAlignment="1">
      <alignment vertical="center" textRotation="90" wrapText="1"/>
    </xf>
    <xf numFmtId="4" fontId="2" fillId="2" borderId="1" xfId="0" applyNumberFormat="1" applyFont="1" applyFill="1" applyBorder="1" applyAlignment="1">
      <alignment horizontal="center" vertical="center" textRotation="90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justify" vertical="center" wrapText="1"/>
    </xf>
    <xf numFmtId="4" fontId="2" fillId="2" borderId="4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5" fillId="2" borderId="0" xfId="0" applyNumberFormat="1" applyFont="1" applyFill="1" applyAlignment="1"/>
    <xf numFmtId="1" fontId="3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textRotation="90"/>
    </xf>
    <xf numFmtId="4" fontId="2" fillId="2" borderId="1" xfId="0" applyNumberFormat="1" applyFont="1" applyFill="1" applyBorder="1" applyAlignment="1">
      <alignment horizontal="center" vertical="center" textRotation="90"/>
    </xf>
    <xf numFmtId="4" fontId="2" fillId="2" borderId="1" xfId="0" applyNumberFormat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textRotation="90"/>
    </xf>
    <xf numFmtId="1" fontId="2" fillId="2" borderId="1" xfId="0" applyNumberFormat="1" applyFont="1" applyFill="1" applyBorder="1" applyAlignment="1">
      <alignment horizontal="center" vertical="center" textRotation="90" wrapText="1"/>
    </xf>
    <xf numFmtId="4" fontId="2" fillId="2" borderId="1" xfId="0" applyNumberFormat="1" applyFont="1" applyFill="1" applyBorder="1" applyAlignment="1">
      <alignment horizontal="center" vertical="center" textRotation="90" wrapText="1"/>
    </xf>
    <xf numFmtId="3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textRotation="90"/>
    </xf>
    <xf numFmtId="3" fontId="2" fillId="2" borderId="1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 textRotation="90"/>
    </xf>
    <xf numFmtId="4" fontId="2" fillId="2" borderId="5" xfId="0" applyNumberFormat="1" applyFont="1" applyFill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left" vertical="center" wrapText="1"/>
    </xf>
    <xf numFmtId="4" fontId="2" fillId="2" borderId="7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left" vertical="center"/>
    </xf>
    <xf numFmtId="4" fontId="2" fillId="0" borderId="4" xfId="0" applyNumberFormat="1" applyFont="1" applyBorder="1" applyAlignment="1">
      <alignment horizontal="left" vertical="center"/>
    </xf>
    <xf numFmtId="4" fontId="2" fillId="0" borderId="1" xfId="0" applyNumberFormat="1" applyFont="1" applyFill="1" applyBorder="1" applyAlignment="1">
      <alignment horizontal="justify" vertical="center" wrapText="1"/>
    </xf>
    <xf numFmtId="4" fontId="2" fillId="0" borderId="1" xfId="0" applyNumberFormat="1" applyFont="1" applyFill="1" applyBorder="1" applyAlignment="1">
      <alignment horizontal="justify" vertical="center"/>
    </xf>
    <xf numFmtId="4" fontId="2" fillId="0" borderId="5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left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left"/>
    </xf>
    <xf numFmtId="4" fontId="8" fillId="0" borderId="0" xfId="0" applyNumberFormat="1" applyFont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justify" vertical="center" wrapText="1"/>
    </xf>
    <xf numFmtId="49" fontId="5" fillId="2" borderId="0" xfId="0" applyNumberFormat="1" applyFont="1" applyFill="1" applyAlignment="1">
      <alignment horizontal="right"/>
    </xf>
    <xf numFmtId="1" fontId="2" fillId="0" borderId="5" xfId="0" applyNumberFormat="1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left" vertical="center" wrapText="1"/>
    </xf>
    <xf numFmtId="0" fontId="5" fillId="0" borderId="0" xfId="0" applyFont="1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2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4" fontId="5" fillId="0" borderId="0" xfId="0" applyNumberFormat="1" applyFont="1"/>
    <xf numFmtId="1" fontId="5" fillId="0" borderId="0" xfId="0" applyNumberFormat="1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053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053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053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152400</xdr:colOff>
      <xdr:row>25</xdr:row>
      <xdr:rowOff>152400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053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8775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7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8775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8775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152400</xdr:colOff>
      <xdr:row>11</xdr:row>
      <xdr:rowOff>152400</xdr:rowOff>
    </xdr:to>
    <xdr:pic>
      <xdr:nvPicPr>
        <xdr:cNvPr id="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877550"/>
          <a:ext cx="152400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31"/>
  <sheetViews>
    <sheetView tabSelected="1" workbookViewId="0">
      <selection sqref="A1:XFD1048576"/>
    </sheetView>
  </sheetViews>
  <sheetFormatPr defaultRowHeight="15.75" x14ac:dyDescent="0.25"/>
  <cols>
    <col min="1" max="1" width="4.140625" style="47" customWidth="1"/>
    <col min="2" max="2" width="28" style="47" customWidth="1"/>
    <col min="3" max="3" width="5.42578125" style="47" customWidth="1"/>
    <col min="4" max="4" width="9" style="99" customWidth="1"/>
    <col min="5" max="5" width="7.5703125" style="47" customWidth="1"/>
    <col min="6" max="6" width="6.7109375" style="47" customWidth="1"/>
    <col min="7" max="7" width="6" style="54" customWidth="1"/>
    <col min="8" max="8" width="6.85546875" style="54" customWidth="1"/>
    <col min="9" max="9" width="8.85546875" style="47" customWidth="1"/>
    <col min="10" max="10" width="5.85546875" style="97" customWidth="1"/>
    <col min="11" max="11" width="6.7109375" style="97" customWidth="1"/>
    <col min="12" max="12" width="5.85546875" style="97" customWidth="1"/>
    <col min="13" max="13" width="9.28515625" style="47" bestFit="1" customWidth="1"/>
    <col min="14" max="14" width="8.28515625" style="47" customWidth="1"/>
    <col min="15" max="15" width="8.140625" style="47" customWidth="1"/>
    <col min="16" max="16" width="13.140625" style="47" customWidth="1"/>
    <col min="17" max="17" width="13" style="47" customWidth="1"/>
    <col min="18" max="18" width="12.85546875" style="47" customWidth="1"/>
    <col min="19" max="19" width="11.42578125" style="47" customWidth="1"/>
    <col min="20" max="20" width="9" style="98" customWidth="1"/>
    <col min="21" max="21" width="7.7109375" style="53" customWidth="1"/>
    <col min="22" max="22" width="15.42578125" style="46" bestFit="1" customWidth="1"/>
    <col min="23" max="59" width="9.140625" style="46"/>
    <col min="60" max="16384" width="9.140625" style="47"/>
  </cols>
  <sheetData>
    <row r="1" spans="1:60" x14ac:dyDescent="0.25">
      <c r="A1" s="40"/>
      <c r="B1" s="41"/>
      <c r="C1" s="41"/>
      <c r="D1" s="42"/>
      <c r="E1" s="41"/>
      <c r="F1" s="41"/>
      <c r="G1" s="43"/>
      <c r="H1" s="43"/>
      <c r="I1" s="41"/>
      <c r="J1" s="44"/>
      <c r="K1" s="44"/>
      <c r="L1" s="44"/>
      <c r="M1" s="41"/>
      <c r="N1" s="41"/>
      <c r="O1" s="41"/>
      <c r="P1" s="47" t="s">
        <v>162</v>
      </c>
      <c r="S1" s="41"/>
      <c r="T1" s="45"/>
      <c r="U1" s="104"/>
    </row>
    <row r="2" spans="1:60" x14ac:dyDescent="0.25">
      <c r="A2" s="40"/>
      <c r="B2" s="41"/>
      <c r="C2" s="41"/>
      <c r="D2" s="42"/>
      <c r="E2" s="41"/>
      <c r="F2" s="41"/>
      <c r="G2" s="43"/>
      <c r="H2" s="43"/>
      <c r="I2" s="41"/>
      <c r="J2" s="44"/>
      <c r="K2" s="44"/>
      <c r="L2" s="44"/>
      <c r="M2" s="41"/>
      <c r="N2" s="41"/>
      <c r="O2" s="41"/>
      <c r="P2" s="41"/>
      <c r="Q2" s="41"/>
      <c r="R2" s="41"/>
      <c r="S2" s="41"/>
      <c r="T2" s="45"/>
      <c r="U2" s="104"/>
    </row>
    <row r="3" spans="1:60" ht="18.75" x14ac:dyDescent="0.25">
      <c r="A3" s="140" t="s">
        <v>1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04"/>
    </row>
    <row r="4" spans="1:60" ht="115.5" customHeight="1" x14ac:dyDescent="0.25">
      <c r="A4" s="145" t="s">
        <v>2</v>
      </c>
      <c r="B4" s="139" t="s">
        <v>17</v>
      </c>
      <c r="C4" s="139" t="s">
        <v>16</v>
      </c>
      <c r="D4" s="139"/>
      <c r="E4" s="143" t="s">
        <v>18</v>
      </c>
      <c r="F4" s="138" t="s">
        <v>3</v>
      </c>
      <c r="G4" s="141" t="s">
        <v>4</v>
      </c>
      <c r="H4" s="142" t="s">
        <v>19</v>
      </c>
      <c r="I4" s="143" t="s">
        <v>20</v>
      </c>
      <c r="J4" s="144" t="s">
        <v>21</v>
      </c>
      <c r="K4" s="144"/>
      <c r="L4" s="144"/>
      <c r="M4" s="139" t="s">
        <v>22</v>
      </c>
      <c r="N4" s="139"/>
      <c r="O4" s="139"/>
      <c r="P4" s="145" t="s">
        <v>5</v>
      </c>
      <c r="Q4" s="145"/>
      <c r="R4" s="145"/>
      <c r="S4" s="145"/>
      <c r="T4" s="145"/>
      <c r="U4" s="145"/>
    </row>
    <row r="5" spans="1:60" ht="15" customHeight="1" x14ac:dyDescent="0.25">
      <c r="A5" s="145"/>
      <c r="B5" s="139"/>
      <c r="C5" s="138" t="s">
        <v>27</v>
      </c>
      <c r="D5" s="137" t="s">
        <v>10</v>
      </c>
      <c r="E5" s="143"/>
      <c r="F5" s="138"/>
      <c r="G5" s="141"/>
      <c r="H5" s="142"/>
      <c r="I5" s="143"/>
      <c r="J5" s="146" t="s">
        <v>6</v>
      </c>
      <c r="K5" s="147" t="s">
        <v>7</v>
      </c>
      <c r="L5" s="147"/>
      <c r="M5" s="138" t="s">
        <v>6</v>
      </c>
      <c r="N5" s="145" t="s">
        <v>7</v>
      </c>
      <c r="O5" s="145"/>
      <c r="P5" s="148" t="s">
        <v>8</v>
      </c>
      <c r="Q5" s="145" t="s">
        <v>9</v>
      </c>
      <c r="R5" s="145"/>
      <c r="S5" s="145"/>
      <c r="T5" s="145"/>
      <c r="U5" s="145"/>
      <c r="BH5" s="46"/>
    </row>
    <row r="6" spans="1:60" ht="78" customHeight="1" x14ac:dyDescent="0.25">
      <c r="A6" s="145"/>
      <c r="B6" s="139"/>
      <c r="C6" s="138"/>
      <c r="D6" s="137"/>
      <c r="E6" s="143"/>
      <c r="F6" s="138"/>
      <c r="G6" s="141"/>
      <c r="H6" s="142"/>
      <c r="I6" s="143"/>
      <c r="J6" s="146"/>
      <c r="K6" s="48" t="s">
        <v>23</v>
      </c>
      <c r="L6" s="48" t="s">
        <v>24</v>
      </c>
      <c r="M6" s="138"/>
      <c r="N6" s="106" t="s">
        <v>23</v>
      </c>
      <c r="O6" s="106" t="s">
        <v>24</v>
      </c>
      <c r="P6" s="138"/>
      <c r="Q6" s="106" t="s">
        <v>104</v>
      </c>
      <c r="R6" s="106" t="s">
        <v>25</v>
      </c>
      <c r="S6" s="106" t="s">
        <v>26</v>
      </c>
      <c r="T6" s="49" t="s">
        <v>111</v>
      </c>
      <c r="U6" s="105" t="s">
        <v>110</v>
      </c>
    </row>
    <row r="7" spans="1:60" ht="22.5" customHeight="1" x14ac:dyDescent="0.25">
      <c r="A7" s="145"/>
      <c r="B7" s="139"/>
      <c r="C7" s="138"/>
      <c r="D7" s="137"/>
      <c r="E7" s="143"/>
      <c r="F7" s="138"/>
      <c r="G7" s="50" t="s">
        <v>11</v>
      </c>
      <c r="H7" s="50" t="s">
        <v>11</v>
      </c>
      <c r="I7" s="107" t="s">
        <v>12</v>
      </c>
      <c r="J7" s="108" t="s">
        <v>13</v>
      </c>
      <c r="K7" s="108" t="s">
        <v>13</v>
      </c>
      <c r="L7" s="108" t="s">
        <v>13</v>
      </c>
      <c r="M7" s="107" t="s">
        <v>12</v>
      </c>
      <c r="N7" s="107" t="s">
        <v>12</v>
      </c>
      <c r="O7" s="107" t="s">
        <v>12</v>
      </c>
      <c r="P7" s="107" t="s">
        <v>14</v>
      </c>
      <c r="Q7" s="107"/>
      <c r="R7" s="107" t="s">
        <v>14</v>
      </c>
      <c r="S7" s="107" t="s">
        <v>14</v>
      </c>
      <c r="T7" s="51" t="s">
        <v>14</v>
      </c>
      <c r="U7" s="52"/>
    </row>
    <row r="8" spans="1:60" s="54" customFormat="1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  <c r="N8" s="50">
        <v>14</v>
      </c>
      <c r="O8" s="50">
        <v>15</v>
      </c>
      <c r="P8" s="50">
        <v>16</v>
      </c>
      <c r="Q8" s="50">
        <v>17</v>
      </c>
      <c r="R8" s="50">
        <v>18</v>
      </c>
      <c r="S8" s="50">
        <v>19</v>
      </c>
      <c r="T8" s="50">
        <v>20</v>
      </c>
      <c r="U8" s="52">
        <v>21</v>
      </c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</row>
    <row r="9" spans="1:60" s="59" customFormat="1" ht="24.95" customHeight="1" x14ac:dyDescent="0.25">
      <c r="A9" s="136" t="s">
        <v>124</v>
      </c>
      <c r="B9" s="136"/>
      <c r="C9" s="55"/>
      <c r="D9" s="56" t="s">
        <v>151</v>
      </c>
      <c r="E9" s="56"/>
      <c r="F9" s="56"/>
      <c r="G9" s="57">
        <f>G10+G11</f>
        <v>796</v>
      </c>
      <c r="H9" s="57">
        <f t="shared" ref="H9:U9" si="0">H10+H11</f>
        <v>796</v>
      </c>
      <c r="I9" s="56">
        <f t="shared" si="0"/>
        <v>9367.5499999999993</v>
      </c>
      <c r="J9" s="57">
        <f t="shared" si="0"/>
        <v>271</v>
      </c>
      <c r="K9" s="57">
        <f t="shared" si="0"/>
        <v>83</v>
      </c>
      <c r="L9" s="57">
        <f t="shared" si="0"/>
        <v>188</v>
      </c>
      <c r="M9" s="56">
        <f t="shared" si="0"/>
        <v>8406.16</v>
      </c>
      <c r="N9" s="56">
        <f t="shared" si="0"/>
        <v>2998.4</v>
      </c>
      <c r="O9" s="56">
        <f t="shared" si="0"/>
        <v>5407.76</v>
      </c>
      <c r="P9" s="56">
        <f t="shared" si="0"/>
        <v>297179632.60000002</v>
      </c>
      <c r="Q9" s="56">
        <f t="shared" si="0"/>
        <v>123716466.40000001</v>
      </c>
      <c r="R9" s="56">
        <f t="shared" si="0"/>
        <v>106090700</v>
      </c>
      <c r="S9" s="56">
        <f t="shared" si="0"/>
        <v>67372466.200000003</v>
      </c>
      <c r="T9" s="50">
        <v>0</v>
      </c>
      <c r="U9" s="57">
        <f t="shared" si="0"/>
        <v>0</v>
      </c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</row>
    <row r="10" spans="1:60" ht="24.95" customHeight="1" x14ac:dyDescent="0.25">
      <c r="A10" s="135" t="s">
        <v>128</v>
      </c>
      <c r="B10" s="135"/>
      <c r="C10" s="107"/>
      <c r="D10" s="50">
        <v>44</v>
      </c>
      <c r="E10" s="51"/>
      <c r="F10" s="51"/>
      <c r="G10" s="50">
        <f>G13+G27+G51+G73+G93</f>
        <v>602</v>
      </c>
      <c r="H10" s="50">
        <f t="shared" ref="H10:U10" si="1">H13+H27+H51+H73+H93</f>
        <v>602</v>
      </c>
      <c r="I10" s="51">
        <f t="shared" si="1"/>
        <v>6937.45</v>
      </c>
      <c r="J10" s="50">
        <f t="shared" si="1"/>
        <v>203</v>
      </c>
      <c r="K10" s="50">
        <f t="shared" si="1"/>
        <v>58</v>
      </c>
      <c r="L10" s="50">
        <f t="shared" si="1"/>
        <v>145</v>
      </c>
      <c r="M10" s="51">
        <f t="shared" si="1"/>
        <v>6059.46</v>
      </c>
      <c r="N10" s="51">
        <f t="shared" si="1"/>
        <v>2120.3000000000002</v>
      </c>
      <c r="O10" s="51">
        <f t="shared" si="1"/>
        <v>3939.16</v>
      </c>
      <c r="P10" s="107">
        <f t="shared" si="1"/>
        <v>212559273</v>
      </c>
      <c r="Q10" s="107">
        <f t="shared" si="1"/>
        <v>123716466.40000001</v>
      </c>
      <c r="R10" s="107">
        <f t="shared" si="1"/>
        <v>51641200</v>
      </c>
      <c r="S10" s="107">
        <f t="shared" si="1"/>
        <v>37201606.600000001</v>
      </c>
      <c r="T10" s="50">
        <v>0</v>
      </c>
      <c r="U10" s="50">
        <f t="shared" si="1"/>
        <v>0</v>
      </c>
      <c r="V10" s="58"/>
    </row>
    <row r="11" spans="1:60" ht="27" customHeight="1" x14ac:dyDescent="0.25">
      <c r="A11" s="135" t="s">
        <v>129</v>
      </c>
      <c r="B11" s="135"/>
      <c r="C11" s="107"/>
      <c r="D11" s="50">
        <v>16</v>
      </c>
      <c r="E11" s="51"/>
      <c r="F11" s="51"/>
      <c r="G11" s="50">
        <f>G49+G68</f>
        <v>194</v>
      </c>
      <c r="H11" s="50">
        <f t="shared" ref="H11:S11" si="2">H49+H68</f>
        <v>194</v>
      </c>
      <c r="I11" s="51">
        <f t="shared" si="2"/>
        <v>2430.1</v>
      </c>
      <c r="J11" s="50">
        <f t="shared" si="2"/>
        <v>68</v>
      </c>
      <c r="K11" s="50">
        <f t="shared" si="2"/>
        <v>25</v>
      </c>
      <c r="L11" s="50">
        <f t="shared" si="2"/>
        <v>43</v>
      </c>
      <c r="M11" s="124">
        <f t="shared" si="2"/>
        <v>2346.6999999999998</v>
      </c>
      <c r="N11" s="124">
        <f t="shared" si="2"/>
        <v>878.1</v>
      </c>
      <c r="O11" s="124">
        <f t="shared" si="2"/>
        <v>1468.6</v>
      </c>
      <c r="P11" s="124">
        <f t="shared" si="2"/>
        <v>84620359.599999994</v>
      </c>
      <c r="Q11" s="50">
        <f t="shared" si="2"/>
        <v>0</v>
      </c>
      <c r="R11" s="124">
        <f t="shared" si="2"/>
        <v>54449500</v>
      </c>
      <c r="S11" s="124">
        <f t="shared" si="2"/>
        <v>30170859.600000001</v>
      </c>
      <c r="T11" s="50">
        <v>0</v>
      </c>
      <c r="U11" s="50">
        <f t="shared" ref="U11" si="3">U49</f>
        <v>0</v>
      </c>
      <c r="V11" s="58"/>
    </row>
    <row r="12" spans="1:60" ht="23.25" customHeight="1" x14ac:dyDescent="0.25">
      <c r="A12" s="135" t="s">
        <v>125</v>
      </c>
      <c r="B12" s="135"/>
      <c r="C12" s="107"/>
      <c r="D12" s="50">
        <v>10</v>
      </c>
      <c r="E12" s="51"/>
      <c r="F12" s="51"/>
      <c r="G12" s="50">
        <f>G13</f>
        <v>331</v>
      </c>
      <c r="H12" s="50">
        <f t="shared" ref="H12:S12" si="4">H13</f>
        <v>331</v>
      </c>
      <c r="I12" s="51">
        <f t="shared" si="4"/>
        <v>3339.76</v>
      </c>
      <c r="J12" s="50">
        <f t="shared" si="4"/>
        <v>108</v>
      </c>
      <c r="K12" s="50">
        <f t="shared" si="4"/>
        <v>8</v>
      </c>
      <c r="L12" s="50">
        <f t="shared" si="4"/>
        <v>100</v>
      </c>
      <c r="M12" s="51">
        <f t="shared" si="4"/>
        <v>2983.66</v>
      </c>
      <c r="N12" s="51">
        <f t="shared" si="4"/>
        <v>321.3</v>
      </c>
      <c r="O12" s="51">
        <f t="shared" si="4"/>
        <v>2662.36</v>
      </c>
      <c r="P12" s="107">
        <f t="shared" si="4"/>
        <v>101891989</v>
      </c>
      <c r="Q12" s="107">
        <f t="shared" si="4"/>
        <v>56894100</v>
      </c>
      <c r="R12" s="107">
        <f t="shared" si="4"/>
        <v>26562000</v>
      </c>
      <c r="S12" s="107">
        <f t="shared" si="4"/>
        <v>18435889</v>
      </c>
      <c r="T12" s="50">
        <v>0</v>
      </c>
      <c r="U12" s="50">
        <v>0</v>
      </c>
      <c r="V12" s="58"/>
    </row>
    <row r="13" spans="1:60" s="59" customFormat="1" ht="36" customHeight="1" x14ac:dyDescent="0.25">
      <c r="A13" s="136" t="s">
        <v>126</v>
      </c>
      <c r="B13" s="136"/>
      <c r="C13" s="55"/>
      <c r="D13" s="57">
        <v>10</v>
      </c>
      <c r="E13" s="56"/>
      <c r="F13" s="56"/>
      <c r="G13" s="57">
        <f>SUM(G15:G24)</f>
        <v>331</v>
      </c>
      <c r="H13" s="57">
        <f t="shared" ref="H13:U13" si="5">SUM(H15:H24)</f>
        <v>331</v>
      </c>
      <c r="I13" s="56">
        <f t="shared" si="5"/>
        <v>3339.76</v>
      </c>
      <c r="J13" s="57">
        <f t="shared" si="5"/>
        <v>108</v>
      </c>
      <c r="K13" s="57">
        <f t="shared" si="5"/>
        <v>8</v>
      </c>
      <c r="L13" s="57">
        <f t="shared" si="5"/>
        <v>100</v>
      </c>
      <c r="M13" s="56">
        <f t="shared" si="5"/>
        <v>2983.66</v>
      </c>
      <c r="N13" s="56">
        <f t="shared" si="5"/>
        <v>321.3</v>
      </c>
      <c r="O13" s="56">
        <f t="shared" si="5"/>
        <v>2662.36</v>
      </c>
      <c r="P13" s="56">
        <f t="shared" si="5"/>
        <v>101891989</v>
      </c>
      <c r="Q13" s="56">
        <f t="shared" si="5"/>
        <v>56894100</v>
      </c>
      <c r="R13" s="56">
        <f t="shared" si="5"/>
        <v>26562000</v>
      </c>
      <c r="S13" s="56">
        <f t="shared" si="5"/>
        <v>18435889</v>
      </c>
      <c r="T13" s="50">
        <v>0</v>
      </c>
      <c r="U13" s="57">
        <f t="shared" si="5"/>
        <v>0</v>
      </c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</row>
    <row r="14" spans="1:60" ht="22.5" customHeight="1" x14ac:dyDescent="0.25">
      <c r="A14" s="149" t="s">
        <v>130</v>
      </c>
      <c r="B14" s="150"/>
      <c r="C14" s="107"/>
      <c r="D14" s="50">
        <v>10</v>
      </c>
      <c r="E14" s="51"/>
      <c r="F14" s="51"/>
      <c r="G14" s="50">
        <f>G13</f>
        <v>331</v>
      </c>
      <c r="H14" s="50">
        <f t="shared" ref="H14:S14" si="6">H13</f>
        <v>331</v>
      </c>
      <c r="I14" s="51">
        <f t="shared" si="6"/>
        <v>3339.76</v>
      </c>
      <c r="J14" s="50">
        <f t="shared" si="6"/>
        <v>108</v>
      </c>
      <c r="K14" s="50">
        <f t="shared" si="6"/>
        <v>8</v>
      </c>
      <c r="L14" s="50">
        <f t="shared" si="6"/>
        <v>100</v>
      </c>
      <c r="M14" s="51">
        <f t="shared" si="6"/>
        <v>2983.66</v>
      </c>
      <c r="N14" s="51">
        <f t="shared" si="6"/>
        <v>321.3</v>
      </c>
      <c r="O14" s="51">
        <f t="shared" si="6"/>
        <v>2662.36</v>
      </c>
      <c r="P14" s="51">
        <f t="shared" si="6"/>
        <v>101891989</v>
      </c>
      <c r="Q14" s="51">
        <f t="shared" si="6"/>
        <v>56894100</v>
      </c>
      <c r="R14" s="51">
        <f t="shared" si="6"/>
        <v>26562000</v>
      </c>
      <c r="S14" s="51">
        <f t="shared" si="6"/>
        <v>18435889</v>
      </c>
      <c r="T14" s="50">
        <v>0</v>
      </c>
      <c r="U14" s="57">
        <f t="shared" ref="U14" si="7">SUM(U16:U25)</f>
        <v>0</v>
      </c>
      <c r="V14" s="58"/>
    </row>
    <row r="15" spans="1:60" ht="27" customHeight="1" x14ac:dyDescent="0.25">
      <c r="A15" s="60">
        <v>1</v>
      </c>
      <c r="B15" s="61" t="s">
        <v>132</v>
      </c>
      <c r="C15" s="62" t="s">
        <v>48</v>
      </c>
      <c r="D15" s="63">
        <v>38039</v>
      </c>
      <c r="E15" s="64" t="s">
        <v>142</v>
      </c>
      <c r="F15" s="64" t="s">
        <v>143</v>
      </c>
      <c r="G15" s="102">
        <v>29</v>
      </c>
      <c r="H15" s="102">
        <f>G15</f>
        <v>29</v>
      </c>
      <c r="I15" s="103">
        <v>356.4</v>
      </c>
      <c r="J15" s="102">
        <f>K15+L15</f>
        <v>12</v>
      </c>
      <c r="K15" s="102">
        <v>0</v>
      </c>
      <c r="L15" s="102">
        <v>12</v>
      </c>
      <c r="M15" s="103">
        <f>N15+O15</f>
        <v>302.2</v>
      </c>
      <c r="N15" s="103">
        <v>0</v>
      </c>
      <c r="O15" s="103">
        <v>302.2</v>
      </c>
      <c r="P15" s="70">
        <f>Q15+R15+S15+T15</f>
        <v>10320130</v>
      </c>
      <c r="Q15" s="70">
        <f>M15*34150*55.83766%</f>
        <v>5762519.0999999996</v>
      </c>
      <c r="R15" s="70">
        <f>M15*34150*26.06878%</f>
        <v>2690331.99</v>
      </c>
      <c r="S15" s="70">
        <f>M15*34150-Q15-R15</f>
        <v>1867278.91</v>
      </c>
      <c r="T15" s="50">
        <v>0</v>
      </c>
      <c r="U15" s="57">
        <f t="shared" ref="U15" si="8">SUM(U17:U26)</f>
        <v>0</v>
      </c>
      <c r="V15" s="58"/>
    </row>
    <row r="16" spans="1:60" ht="27" customHeight="1" x14ac:dyDescent="0.25">
      <c r="A16" s="60">
        <v>2</v>
      </c>
      <c r="B16" s="61" t="s">
        <v>133</v>
      </c>
      <c r="C16" s="62" t="s">
        <v>48</v>
      </c>
      <c r="D16" s="63">
        <v>38039</v>
      </c>
      <c r="E16" s="64" t="s">
        <v>142</v>
      </c>
      <c r="F16" s="64" t="s">
        <v>143</v>
      </c>
      <c r="G16" s="102">
        <v>35</v>
      </c>
      <c r="H16" s="102">
        <f t="shared" ref="H16:H24" si="9">G16</f>
        <v>35</v>
      </c>
      <c r="I16" s="103">
        <v>357.7</v>
      </c>
      <c r="J16" s="102">
        <f t="shared" ref="J16:J24" si="10">K16+L16</f>
        <v>11</v>
      </c>
      <c r="K16" s="102">
        <v>0</v>
      </c>
      <c r="L16" s="102">
        <v>11</v>
      </c>
      <c r="M16" s="103">
        <f t="shared" ref="M16:M24" si="11">N16+O16</f>
        <v>337.1</v>
      </c>
      <c r="N16" s="103">
        <v>0</v>
      </c>
      <c r="O16" s="103">
        <v>337.1</v>
      </c>
      <c r="P16" s="70">
        <f t="shared" ref="P16:P24" si="12">Q16+R16+S16+T16</f>
        <v>11511965</v>
      </c>
      <c r="Q16" s="70">
        <f t="shared" ref="Q16:Q23" si="13">M16*34150*55.83766%</f>
        <v>6428011.8799999999</v>
      </c>
      <c r="R16" s="70">
        <f t="shared" ref="R16:R23" si="14">M16*34150*26.06878%</f>
        <v>3001028.83</v>
      </c>
      <c r="S16" s="70">
        <f>M16*34150-Q16-R16</f>
        <v>2082924.29</v>
      </c>
      <c r="T16" s="50">
        <v>0</v>
      </c>
      <c r="U16" s="57">
        <f t="shared" ref="U16" si="15">SUM(U18:U27)</f>
        <v>0</v>
      </c>
      <c r="V16" s="58"/>
    </row>
    <row r="17" spans="1:59" ht="27" customHeight="1" x14ac:dyDescent="0.25">
      <c r="A17" s="60">
        <v>3</v>
      </c>
      <c r="B17" s="61" t="s">
        <v>134</v>
      </c>
      <c r="C17" s="62" t="s">
        <v>48</v>
      </c>
      <c r="D17" s="63">
        <v>38039</v>
      </c>
      <c r="E17" s="64" t="s">
        <v>142</v>
      </c>
      <c r="F17" s="64" t="s">
        <v>143</v>
      </c>
      <c r="G17" s="102">
        <v>38</v>
      </c>
      <c r="H17" s="102">
        <f t="shared" si="9"/>
        <v>38</v>
      </c>
      <c r="I17" s="103">
        <v>356</v>
      </c>
      <c r="J17" s="102">
        <f t="shared" si="10"/>
        <v>12</v>
      </c>
      <c r="K17" s="102">
        <v>0</v>
      </c>
      <c r="L17" s="102">
        <v>12</v>
      </c>
      <c r="M17" s="103">
        <f t="shared" si="11"/>
        <v>320.7</v>
      </c>
      <c r="N17" s="103">
        <v>0</v>
      </c>
      <c r="O17" s="103">
        <v>320.7</v>
      </c>
      <c r="P17" s="70">
        <f t="shared" si="12"/>
        <v>10951905</v>
      </c>
      <c r="Q17" s="70">
        <f t="shared" si="13"/>
        <v>6115287.4800000004</v>
      </c>
      <c r="R17" s="70">
        <f t="shared" si="14"/>
        <v>2855028.02</v>
      </c>
      <c r="S17" s="70">
        <f t="shared" ref="S17:S24" si="16">M17*34150-Q17-R17</f>
        <v>1981589.5</v>
      </c>
      <c r="T17" s="50">
        <v>0</v>
      </c>
      <c r="U17" s="57">
        <f t="shared" ref="U17" si="17">SUM(U19:U28)</f>
        <v>0</v>
      </c>
      <c r="V17" s="58"/>
    </row>
    <row r="18" spans="1:59" ht="27" customHeight="1" x14ac:dyDescent="0.25">
      <c r="A18" s="60">
        <v>4</v>
      </c>
      <c r="B18" s="61" t="s">
        <v>135</v>
      </c>
      <c r="C18" s="62" t="s">
        <v>48</v>
      </c>
      <c r="D18" s="63">
        <v>38039</v>
      </c>
      <c r="E18" s="64" t="s">
        <v>142</v>
      </c>
      <c r="F18" s="64" t="s">
        <v>143</v>
      </c>
      <c r="G18" s="102">
        <v>42</v>
      </c>
      <c r="H18" s="102">
        <f t="shared" si="9"/>
        <v>42</v>
      </c>
      <c r="I18" s="103">
        <v>360.7</v>
      </c>
      <c r="J18" s="102">
        <f t="shared" si="10"/>
        <v>11</v>
      </c>
      <c r="K18" s="102">
        <v>0</v>
      </c>
      <c r="L18" s="102">
        <f>13-2</f>
        <v>11</v>
      </c>
      <c r="M18" s="103">
        <f t="shared" si="11"/>
        <v>305.2</v>
      </c>
      <c r="N18" s="103">
        <v>0</v>
      </c>
      <c r="O18" s="103">
        <f>360.7-20.2-35.3</f>
        <v>305.2</v>
      </c>
      <c r="P18" s="70">
        <f t="shared" si="12"/>
        <v>10422580</v>
      </c>
      <c r="Q18" s="70">
        <f t="shared" si="13"/>
        <v>5819724.7800000003</v>
      </c>
      <c r="R18" s="70">
        <f t="shared" si="14"/>
        <v>2717039.45</v>
      </c>
      <c r="S18" s="70">
        <f t="shared" si="16"/>
        <v>1885815.77</v>
      </c>
      <c r="T18" s="50">
        <v>0</v>
      </c>
      <c r="U18" s="57">
        <f t="shared" ref="U18" si="18">SUM(U20:U29)</f>
        <v>0</v>
      </c>
      <c r="V18" s="58"/>
    </row>
    <row r="19" spans="1:59" ht="27" customHeight="1" x14ac:dyDescent="0.25">
      <c r="A19" s="60">
        <v>5</v>
      </c>
      <c r="B19" s="61" t="s">
        <v>136</v>
      </c>
      <c r="C19" s="62" t="s">
        <v>48</v>
      </c>
      <c r="D19" s="63">
        <v>38042</v>
      </c>
      <c r="E19" s="64" t="s">
        <v>142</v>
      </c>
      <c r="F19" s="64" t="s">
        <v>143</v>
      </c>
      <c r="G19" s="102">
        <v>34</v>
      </c>
      <c r="H19" s="102">
        <f t="shared" si="9"/>
        <v>34</v>
      </c>
      <c r="I19" s="103">
        <v>352.96</v>
      </c>
      <c r="J19" s="102">
        <f t="shared" si="10"/>
        <v>10</v>
      </c>
      <c r="K19" s="102">
        <v>3</v>
      </c>
      <c r="L19" s="102">
        <v>7</v>
      </c>
      <c r="M19" s="103">
        <f t="shared" si="11"/>
        <v>352.96</v>
      </c>
      <c r="N19" s="103">
        <v>116.2</v>
      </c>
      <c r="O19" s="103">
        <v>236.76</v>
      </c>
      <c r="P19" s="70">
        <f t="shared" si="12"/>
        <v>12053584</v>
      </c>
      <c r="Q19" s="70">
        <f t="shared" si="13"/>
        <v>6730439.25</v>
      </c>
      <c r="R19" s="70">
        <f t="shared" si="14"/>
        <v>3142222.3</v>
      </c>
      <c r="S19" s="70">
        <f t="shared" si="16"/>
        <v>2180922.4500000002</v>
      </c>
      <c r="T19" s="50">
        <v>0</v>
      </c>
      <c r="U19" s="57">
        <f t="shared" ref="U19" si="19">SUM(U21:U30)</f>
        <v>0</v>
      </c>
      <c r="V19" s="58"/>
    </row>
    <row r="20" spans="1:59" ht="27" customHeight="1" x14ac:dyDescent="0.25">
      <c r="A20" s="60">
        <v>6</v>
      </c>
      <c r="B20" s="61" t="s">
        <v>137</v>
      </c>
      <c r="C20" s="62" t="s">
        <v>48</v>
      </c>
      <c r="D20" s="63">
        <v>38039</v>
      </c>
      <c r="E20" s="64" t="s">
        <v>142</v>
      </c>
      <c r="F20" s="64" t="s">
        <v>143</v>
      </c>
      <c r="G20" s="102">
        <v>38</v>
      </c>
      <c r="H20" s="102">
        <f t="shared" si="9"/>
        <v>38</v>
      </c>
      <c r="I20" s="103">
        <v>342.6</v>
      </c>
      <c r="J20" s="102">
        <f t="shared" si="10"/>
        <v>14</v>
      </c>
      <c r="K20" s="102">
        <v>2</v>
      </c>
      <c r="L20" s="102">
        <f>13-1</f>
        <v>12</v>
      </c>
      <c r="M20" s="103">
        <f t="shared" si="11"/>
        <v>276.3</v>
      </c>
      <c r="N20" s="103">
        <v>65</v>
      </c>
      <c r="O20" s="103">
        <f>224.2-12.9</f>
        <v>211.3</v>
      </c>
      <c r="P20" s="70">
        <f t="shared" si="12"/>
        <v>9435645</v>
      </c>
      <c r="Q20" s="70">
        <f t="shared" si="13"/>
        <v>5268643.37</v>
      </c>
      <c r="R20" s="70">
        <f t="shared" si="14"/>
        <v>2459757.54</v>
      </c>
      <c r="S20" s="70">
        <f t="shared" si="16"/>
        <v>1707244.09</v>
      </c>
      <c r="T20" s="50">
        <v>0</v>
      </c>
      <c r="U20" s="57">
        <f t="shared" ref="U20" si="20">SUM(U22:U31)</f>
        <v>0</v>
      </c>
      <c r="V20" s="58"/>
    </row>
    <row r="21" spans="1:59" ht="27" customHeight="1" x14ac:dyDescent="0.25">
      <c r="A21" s="60">
        <v>7</v>
      </c>
      <c r="B21" s="61" t="s">
        <v>138</v>
      </c>
      <c r="C21" s="62" t="s">
        <v>48</v>
      </c>
      <c r="D21" s="63">
        <v>38039</v>
      </c>
      <c r="E21" s="64" t="s">
        <v>142</v>
      </c>
      <c r="F21" s="64" t="s">
        <v>143</v>
      </c>
      <c r="G21" s="102">
        <v>11</v>
      </c>
      <c r="H21" s="102">
        <f t="shared" si="9"/>
        <v>11</v>
      </c>
      <c r="I21" s="103">
        <v>101.6</v>
      </c>
      <c r="J21" s="102">
        <f t="shared" si="10"/>
        <v>4</v>
      </c>
      <c r="K21" s="102">
        <v>0</v>
      </c>
      <c r="L21" s="102">
        <v>4</v>
      </c>
      <c r="M21" s="103">
        <f t="shared" si="11"/>
        <v>101.6</v>
      </c>
      <c r="N21" s="103">
        <v>0</v>
      </c>
      <c r="O21" s="103">
        <v>101.6</v>
      </c>
      <c r="P21" s="70">
        <f t="shared" si="12"/>
        <v>3469640</v>
      </c>
      <c r="Q21" s="70">
        <f t="shared" si="13"/>
        <v>1937365.79</v>
      </c>
      <c r="R21" s="70">
        <f t="shared" si="14"/>
        <v>904492.82</v>
      </c>
      <c r="S21" s="70">
        <f t="shared" si="16"/>
        <v>627781.39</v>
      </c>
      <c r="T21" s="50">
        <v>0</v>
      </c>
      <c r="U21" s="57">
        <f t="shared" ref="U21" si="21">SUM(U23:U32)</f>
        <v>0</v>
      </c>
      <c r="V21" s="58"/>
    </row>
    <row r="22" spans="1:59" ht="27" customHeight="1" x14ac:dyDescent="0.25">
      <c r="A22" s="60">
        <v>8</v>
      </c>
      <c r="B22" s="65" t="s">
        <v>139</v>
      </c>
      <c r="C22" s="62" t="s">
        <v>48</v>
      </c>
      <c r="D22" s="63">
        <v>38041</v>
      </c>
      <c r="E22" s="64" t="s">
        <v>142</v>
      </c>
      <c r="F22" s="64" t="s">
        <v>143</v>
      </c>
      <c r="G22" s="102">
        <v>33</v>
      </c>
      <c r="H22" s="102">
        <f t="shared" si="9"/>
        <v>33</v>
      </c>
      <c r="I22" s="103">
        <v>393.4</v>
      </c>
      <c r="J22" s="102">
        <f t="shared" si="10"/>
        <v>10</v>
      </c>
      <c r="K22" s="102">
        <v>1</v>
      </c>
      <c r="L22" s="102">
        <v>9</v>
      </c>
      <c r="M22" s="103">
        <f t="shared" si="11"/>
        <v>393.4</v>
      </c>
      <c r="N22" s="103">
        <v>38.1</v>
      </c>
      <c r="O22" s="103">
        <v>355.3</v>
      </c>
      <c r="P22" s="70">
        <f t="shared" si="12"/>
        <v>13434610</v>
      </c>
      <c r="Q22" s="70">
        <f t="shared" si="13"/>
        <v>7501571.8499999996</v>
      </c>
      <c r="R22" s="70">
        <f t="shared" si="14"/>
        <v>3502238.92</v>
      </c>
      <c r="S22" s="70">
        <f t="shared" si="16"/>
        <v>2430799.23</v>
      </c>
      <c r="T22" s="50">
        <v>0</v>
      </c>
      <c r="U22" s="57">
        <f t="shared" ref="U22" si="22">SUM(U24:U33)</f>
        <v>0</v>
      </c>
      <c r="V22" s="58"/>
    </row>
    <row r="23" spans="1:59" ht="27" customHeight="1" x14ac:dyDescent="0.25">
      <c r="A23" s="60">
        <v>9</v>
      </c>
      <c r="B23" s="65" t="s">
        <v>140</v>
      </c>
      <c r="C23" s="62" t="s">
        <v>48</v>
      </c>
      <c r="D23" s="63">
        <v>38041</v>
      </c>
      <c r="E23" s="64" t="s">
        <v>142</v>
      </c>
      <c r="F23" s="64" t="s">
        <v>143</v>
      </c>
      <c r="G23" s="102">
        <v>29</v>
      </c>
      <c r="H23" s="102">
        <v>29</v>
      </c>
      <c r="I23" s="103">
        <v>356.7</v>
      </c>
      <c r="J23" s="102">
        <f t="shared" si="10"/>
        <v>12</v>
      </c>
      <c r="K23" s="102">
        <v>0</v>
      </c>
      <c r="L23" s="102">
        <v>12</v>
      </c>
      <c r="M23" s="103">
        <f t="shared" si="11"/>
        <v>285.8</v>
      </c>
      <c r="N23" s="103">
        <v>0</v>
      </c>
      <c r="O23" s="103">
        <f>306.9-21.1</f>
        <v>285.8</v>
      </c>
      <c r="P23" s="70">
        <f t="shared" si="12"/>
        <v>9760070</v>
      </c>
      <c r="Q23" s="70">
        <f t="shared" si="13"/>
        <v>5449794.7000000002</v>
      </c>
      <c r="R23" s="70">
        <f t="shared" si="14"/>
        <v>2544331.1800000002</v>
      </c>
      <c r="S23" s="70">
        <f t="shared" si="16"/>
        <v>1765944.12</v>
      </c>
      <c r="T23" s="50">
        <v>0</v>
      </c>
      <c r="U23" s="57">
        <f t="shared" ref="U23" si="23">SUM(U25:U34)</f>
        <v>0</v>
      </c>
      <c r="V23" s="58"/>
    </row>
    <row r="24" spans="1:59" ht="27" customHeight="1" x14ac:dyDescent="0.25">
      <c r="A24" s="60">
        <v>10</v>
      </c>
      <c r="B24" s="65" t="s">
        <v>141</v>
      </c>
      <c r="C24" s="62" t="s">
        <v>48</v>
      </c>
      <c r="D24" s="63">
        <v>38041</v>
      </c>
      <c r="E24" s="64" t="s">
        <v>142</v>
      </c>
      <c r="F24" s="64" t="s">
        <v>143</v>
      </c>
      <c r="G24" s="102">
        <v>42</v>
      </c>
      <c r="H24" s="102">
        <f t="shared" si="9"/>
        <v>42</v>
      </c>
      <c r="I24" s="103">
        <v>361.7</v>
      </c>
      <c r="J24" s="102">
        <f t="shared" si="10"/>
        <v>12</v>
      </c>
      <c r="K24" s="102">
        <v>2</v>
      </c>
      <c r="L24" s="102">
        <v>10</v>
      </c>
      <c r="M24" s="103">
        <f t="shared" si="11"/>
        <v>308.39999999999998</v>
      </c>
      <c r="N24" s="103">
        <v>102</v>
      </c>
      <c r="O24" s="103">
        <v>206.4</v>
      </c>
      <c r="P24" s="70">
        <f t="shared" si="12"/>
        <v>10531860</v>
      </c>
      <c r="Q24" s="70">
        <f>M24*34150*55.83766%-2.38</f>
        <v>5880741.7999999998</v>
      </c>
      <c r="R24" s="70">
        <f>M24*34150*26.06878%+1.54</f>
        <v>2745528.95</v>
      </c>
      <c r="S24" s="70">
        <f t="shared" si="16"/>
        <v>1905589.25</v>
      </c>
      <c r="T24" s="50">
        <v>0</v>
      </c>
      <c r="U24" s="57">
        <f t="shared" ref="U24" si="24">SUM(U26:U35)</f>
        <v>0</v>
      </c>
      <c r="V24" s="58"/>
    </row>
    <row r="25" spans="1:59" ht="36" customHeight="1" x14ac:dyDescent="0.25">
      <c r="A25" s="135" t="s">
        <v>127</v>
      </c>
      <c r="B25" s="135"/>
      <c r="C25" s="107"/>
      <c r="D25" s="66" t="s">
        <v>152</v>
      </c>
      <c r="E25" s="107"/>
      <c r="F25" s="107"/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7">
        <f t="shared" ref="U25" si="25">SUM(U27:U36)</f>
        <v>0</v>
      </c>
      <c r="V25" s="58"/>
    </row>
    <row r="26" spans="1:59" s="59" customFormat="1" ht="23.25" customHeight="1" x14ac:dyDescent="0.25">
      <c r="A26" s="136" t="s">
        <v>15</v>
      </c>
      <c r="B26" s="136"/>
      <c r="C26" s="55"/>
      <c r="D26" s="67" t="s">
        <v>153</v>
      </c>
      <c r="E26" s="55"/>
      <c r="F26" s="55"/>
      <c r="G26" s="57">
        <f t="shared" ref="G26:P26" si="26">SUM(G29:G48)</f>
        <v>159</v>
      </c>
      <c r="H26" s="57">
        <f t="shared" si="26"/>
        <v>159</v>
      </c>
      <c r="I26" s="56">
        <f t="shared" si="26"/>
        <v>1907.2</v>
      </c>
      <c r="J26" s="57">
        <f t="shared" si="26"/>
        <v>56</v>
      </c>
      <c r="K26" s="57">
        <f t="shared" si="26"/>
        <v>18</v>
      </c>
      <c r="L26" s="57">
        <f t="shared" si="26"/>
        <v>38</v>
      </c>
      <c r="M26" s="56">
        <f t="shared" si="26"/>
        <v>1823.8</v>
      </c>
      <c r="N26" s="56">
        <f t="shared" si="26"/>
        <v>621.70000000000005</v>
      </c>
      <c r="O26" s="56">
        <f t="shared" si="26"/>
        <v>1202.0999999999999</v>
      </c>
      <c r="P26" s="56">
        <f t="shared" si="26"/>
        <v>65806417.600000001</v>
      </c>
      <c r="Q26" s="57">
        <f t="shared" ref="Q26:S26" si="27">SUM(Q29:Q48)</f>
        <v>0</v>
      </c>
      <c r="R26" s="56">
        <f t="shared" si="27"/>
        <v>41279800</v>
      </c>
      <c r="S26" s="56">
        <f t="shared" si="27"/>
        <v>24526617.600000001</v>
      </c>
      <c r="T26" s="50">
        <v>0</v>
      </c>
      <c r="U26" s="57">
        <f t="shared" ref="U26" si="28">SUM(U28:U37)</f>
        <v>0</v>
      </c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</row>
    <row r="27" spans="1:59" ht="36" customHeight="1" x14ac:dyDescent="0.25">
      <c r="A27" s="135" t="s">
        <v>117</v>
      </c>
      <c r="B27" s="135"/>
      <c r="C27" s="107"/>
      <c r="D27" s="66" t="s">
        <v>152</v>
      </c>
      <c r="E27" s="107"/>
      <c r="F27" s="107"/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7">
        <f t="shared" ref="U27" si="29">SUM(U29:U38)</f>
        <v>0</v>
      </c>
      <c r="V27" s="58"/>
    </row>
    <row r="28" spans="1:59" ht="23.25" customHeight="1" x14ac:dyDescent="0.25">
      <c r="A28" s="135" t="s">
        <v>102</v>
      </c>
      <c r="B28" s="135"/>
      <c r="C28" s="107"/>
      <c r="D28" s="66" t="s">
        <v>153</v>
      </c>
      <c r="E28" s="107"/>
      <c r="F28" s="107"/>
      <c r="G28" s="50">
        <f t="shared" ref="G28:S28" si="30">G26</f>
        <v>159</v>
      </c>
      <c r="H28" s="50">
        <f t="shared" si="30"/>
        <v>159</v>
      </c>
      <c r="I28" s="51">
        <f t="shared" si="30"/>
        <v>1907.2</v>
      </c>
      <c r="J28" s="50">
        <f t="shared" si="30"/>
        <v>56</v>
      </c>
      <c r="K28" s="50">
        <f t="shared" si="30"/>
        <v>18</v>
      </c>
      <c r="L28" s="50">
        <f t="shared" si="30"/>
        <v>38</v>
      </c>
      <c r="M28" s="107">
        <f t="shared" si="30"/>
        <v>1823.8</v>
      </c>
      <c r="N28" s="107">
        <f t="shared" si="30"/>
        <v>621.70000000000005</v>
      </c>
      <c r="O28" s="107">
        <f t="shared" si="30"/>
        <v>1202.0999999999999</v>
      </c>
      <c r="P28" s="107">
        <f t="shared" si="30"/>
        <v>65806417.600000001</v>
      </c>
      <c r="Q28" s="50">
        <f t="shared" si="30"/>
        <v>0</v>
      </c>
      <c r="R28" s="107">
        <f t="shared" si="30"/>
        <v>41279800</v>
      </c>
      <c r="S28" s="107">
        <f t="shared" si="30"/>
        <v>24526617.600000001</v>
      </c>
      <c r="T28" s="50">
        <v>0</v>
      </c>
      <c r="U28" s="57">
        <f t="shared" ref="U28" si="31">SUM(U30:U39)</f>
        <v>0</v>
      </c>
      <c r="V28" s="58"/>
    </row>
    <row r="29" spans="1:59" ht="25.5" customHeight="1" x14ac:dyDescent="0.25">
      <c r="A29" s="68">
        <v>1</v>
      </c>
      <c r="B29" s="69" t="s">
        <v>50</v>
      </c>
      <c r="C29" s="70" t="s">
        <v>48</v>
      </c>
      <c r="D29" s="71">
        <v>38041</v>
      </c>
      <c r="E29" s="64" t="s">
        <v>142</v>
      </c>
      <c r="F29" s="64" t="s">
        <v>143</v>
      </c>
      <c r="G29" s="72">
        <v>30</v>
      </c>
      <c r="H29" s="72">
        <f t="shared" ref="H29:H34" si="32">G29</f>
        <v>30</v>
      </c>
      <c r="I29" s="73">
        <f>M29</f>
        <v>326.60000000000002</v>
      </c>
      <c r="J29" s="74">
        <v>12</v>
      </c>
      <c r="K29" s="74">
        <v>5</v>
      </c>
      <c r="L29" s="74">
        <f>J29-K29</f>
        <v>7</v>
      </c>
      <c r="M29" s="73">
        <f>N29+O29</f>
        <v>326.60000000000002</v>
      </c>
      <c r="N29" s="73">
        <v>168.5</v>
      </c>
      <c r="O29" s="73">
        <v>158.1</v>
      </c>
      <c r="P29" s="73">
        <f>Q29+R29+S29+T29</f>
        <v>11751068</v>
      </c>
      <c r="Q29" s="50">
        <v>0</v>
      </c>
      <c r="R29" s="109">
        <v>8225736.8399999999</v>
      </c>
      <c r="S29" s="73">
        <f>M29*35980-R29</f>
        <v>3525331.16</v>
      </c>
      <c r="T29" s="50">
        <v>0</v>
      </c>
      <c r="U29" s="57">
        <f t="shared" ref="U29" si="33">SUM(U31:U40)</f>
        <v>0</v>
      </c>
      <c r="V29" s="58"/>
    </row>
    <row r="30" spans="1:59" ht="28.5" customHeight="1" x14ac:dyDescent="0.25">
      <c r="A30" s="68">
        <v>2</v>
      </c>
      <c r="B30" s="69" t="s">
        <v>51</v>
      </c>
      <c r="C30" s="70" t="s">
        <v>48</v>
      </c>
      <c r="D30" s="71">
        <v>38041</v>
      </c>
      <c r="E30" s="64" t="s">
        <v>142</v>
      </c>
      <c r="F30" s="64" t="s">
        <v>143</v>
      </c>
      <c r="G30" s="72">
        <v>13</v>
      </c>
      <c r="H30" s="72">
        <f t="shared" si="32"/>
        <v>13</v>
      </c>
      <c r="I30" s="73">
        <v>102.1</v>
      </c>
      <c r="J30" s="74">
        <v>4</v>
      </c>
      <c r="K30" s="74">
        <v>3</v>
      </c>
      <c r="L30" s="74">
        <f>J30-K30</f>
        <v>1</v>
      </c>
      <c r="M30" s="73">
        <f>N30+O30</f>
        <v>102.1</v>
      </c>
      <c r="N30" s="73">
        <v>61</v>
      </c>
      <c r="O30" s="73">
        <v>41.1</v>
      </c>
      <c r="P30" s="73">
        <f t="shared" ref="P30:P48" si="34">Q30+R30+S30+T30</f>
        <v>3673558</v>
      </c>
      <c r="Q30" s="50">
        <v>0</v>
      </c>
      <c r="R30" s="109">
        <v>2571487.2400000002</v>
      </c>
      <c r="S30" s="73">
        <f t="shared" ref="S30:S44" si="35">M30*35980-R30</f>
        <v>1102070.76</v>
      </c>
      <c r="T30" s="50">
        <v>0</v>
      </c>
      <c r="U30" s="57">
        <f t="shared" ref="U30" si="36">SUM(U32:U41)</f>
        <v>0</v>
      </c>
      <c r="V30" s="58"/>
    </row>
    <row r="31" spans="1:59" ht="31.5" customHeight="1" x14ac:dyDescent="0.25">
      <c r="A31" s="68">
        <v>3</v>
      </c>
      <c r="B31" s="75" t="s">
        <v>64</v>
      </c>
      <c r="C31" s="70" t="s">
        <v>48</v>
      </c>
      <c r="D31" s="71">
        <v>38047</v>
      </c>
      <c r="E31" s="64" t="s">
        <v>142</v>
      </c>
      <c r="F31" s="64" t="s">
        <v>143</v>
      </c>
      <c r="G31" s="72">
        <v>5</v>
      </c>
      <c r="H31" s="72">
        <f t="shared" si="32"/>
        <v>5</v>
      </c>
      <c r="I31" s="73">
        <v>62.5</v>
      </c>
      <c r="J31" s="74">
        <v>2</v>
      </c>
      <c r="K31" s="74">
        <v>0</v>
      </c>
      <c r="L31" s="74">
        <f>J31-K31</f>
        <v>2</v>
      </c>
      <c r="M31" s="73">
        <f>62.5</f>
        <v>62.5</v>
      </c>
      <c r="N31" s="73">
        <v>0</v>
      </c>
      <c r="O31" s="73">
        <f>M31-N31</f>
        <v>62.5</v>
      </c>
      <c r="P31" s="73">
        <f t="shared" si="34"/>
        <v>2248750</v>
      </c>
      <c r="Q31" s="50">
        <v>0</v>
      </c>
      <c r="R31" s="109">
        <v>1574122.94</v>
      </c>
      <c r="S31" s="73">
        <f t="shared" si="35"/>
        <v>674627.06</v>
      </c>
      <c r="T31" s="50">
        <v>0</v>
      </c>
      <c r="U31" s="57">
        <f t="shared" ref="U31" si="37">SUM(U33:U42)</f>
        <v>0</v>
      </c>
      <c r="V31" s="58"/>
    </row>
    <row r="32" spans="1:59" ht="25.5" customHeight="1" x14ac:dyDescent="0.25">
      <c r="A32" s="68">
        <v>4</v>
      </c>
      <c r="B32" s="75" t="s">
        <v>65</v>
      </c>
      <c r="C32" s="70" t="s">
        <v>48</v>
      </c>
      <c r="D32" s="71">
        <v>38047</v>
      </c>
      <c r="E32" s="64" t="s">
        <v>142</v>
      </c>
      <c r="F32" s="64" t="s">
        <v>143</v>
      </c>
      <c r="G32" s="72">
        <v>9</v>
      </c>
      <c r="H32" s="72">
        <f t="shared" si="32"/>
        <v>9</v>
      </c>
      <c r="I32" s="73">
        <v>67</v>
      </c>
      <c r="J32" s="74">
        <v>2</v>
      </c>
      <c r="K32" s="74">
        <v>0</v>
      </c>
      <c r="L32" s="74">
        <f>J32-K32</f>
        <v>2</v>
      </c>
      <c r="M32" s="73">
        <v>67</v>
      </c>
      <c r="N32" s="73">
        <v>0</v>
      </c>
      <c r="O32" s="73">
        <f>M32-N32</f>
        <v>67</v>
      </c>
      <c r="P32" s="73">
        <f t="shared" si="34"/>
        <v>2410660</v>
      </c>
      <c r="Q32" s="50">
        <v>0</v>
      </c>
      <c r="R32" s="109">
        <v>1687459.79</v>
      </c>
      <c r="S32" s="73">
        <f t="shared" si="35"/>
        <v>723200.21</v>
      </c>
      <c r="T32" s="50">
        <v>0</v>
      </c>
      <c r="U32" s="57">
        <f t="shared" ref="U32" si="38">SUM(U34:U43)</f>
        <v>0</v>
      </c>
      <c r="V32" s="58"/>
    </row>
    <row r="33" spans="1:59" ht="27.75" customHeight="1" x14ac:dyDescent="0.25">
      <c r="A33" s="68">
        <v>5</v>
      </c>
      <c r="B33" s="75" t="s">
        <v>66</v>
      </c>
      <c r="C33" s="70" t="s">
        <v>48</v>
      </c>
      <c r="D33" s="71">
        <v>38047</v>
      </c>
      <c r="E33" s="64" t="s">
        <v>142</v>
      </c>
      <c r="F33" s="64" t="s">
        <v>143</v>
      </c>
      <c r="G33" s="72">
        <v>4</v>
      </c>
      <c r="H33" s="72">
        <f t="shared" si="32"/>
        <v>4</v>
      </c>
      <c r="I33" s="73">
        <v>65.900000000000006</v>
      </c>
      <c r="J33" s="74">
        <v>1</v>
      </c>
      <c r="K33" s="74">
        <v>0</v>
      </c>
      <c r="L33" s="74">
        <f>J33-K33</f>
        <v>1</v>
      </c>
      <c r="M33" s="73">
        <v>32.4</v>
      </c>
      <c r="N33" s="73">
        <v>0</v>
      </c>
      <c r="O33" s="73">
        <f>M33-N33</f>
        <v>32.4</v>
      </c>
      <c r="P33" s="73">
        <f t="shared" si="34"/>
        <v>1165752</v>
      </c>
      <c r="Q33" s="50">
        <v>0</v>
      </c>
      <c r="R33" s="109">
        <v>816025.34</v>
      </c>
      <c r="S33" s="73">
        <f t="shared" si="35"/>
        <v>349726.66</v>
      </c>
      <c r="T33" s="50">
        <v>0</v>
      </c>
      <c r="U33" s="57">
        <f t="shared" ref="U33" si="39">SUM(U35:U44)</f>
        <v>0</v>
      </c>
      <c r="V33" s="58"/>
    </row>
    <row r="34" spans="1:59" ht="25.5" customHeight="1" x14ac:dyDescent="0.25">
      <c r="A34" s="68">
        <v>6</v>
      </c>
      <c r="B34" s="76" t="s">
        <v>52</v>
      </c>
      <c r="C34" s="70" t="s">
        <v>48</v>
      </c>
      <c r="D34" s="77" t="s">
        <v>49</v>
      </c>
      <c r="E34" s="64" t="s">
        <v>142</v>
      </c>
      <c r="F34" s="64" t="s">
        <v>143</v>
      </c>
      <c r="G34" s="72">
        <f>5+2+6</f>
        <v>13</v>
      </c>
      <c r="H34" s="72">
        <f t="shared" si="32"/>
        <v>13</v>
      </c>
      <c r="I34" s="73">
        <v>105.8</v>
      </c>
      <c r="J34" s="74">
        <v>3</v>
      </c>
      <c r="K34" s="74">
        <v>2</v>
      </c>
      <c r="L34" s="74">
        <v>1</v>
      </c>
      <c r="M34" s="73">
        <f>55.5+28.7+21.6</f>
        <v>105.8</v>
      </c>
      <c r="N34" s="73">
        <f>21.6+28.7</f>
        <v>50.3</v>
      </c>
      <c r="O34" s="73">
        <f>M34-N34</f>
        <v>55.5</v>
      </c>
      <c r="P34" s="73">
        <f t="shared" si="34"/>
        <v>3806684</v>
      </c>
      <c r="Q34" s="50">
        <v>0</v>
      </c>
      <c r="R34" s="109">
        <v>2664675.31</v>
      </c>
      <c r="S34" s="73">
        <f t="shared" si="35"/>
        <v>1142008.69</v>
      </c>
      <c r="T34" s="50">
        <v>0</v>
      </c>
      <c r="U34" s="57">
        <f t="shared" ref="U34" si="40">SUM(U36:U45)</f>
        <v>0</v>
      </c>
      <c r="V34" s="58"/>
    </row>
    <row r="35" spans="1:59" ht="30" customHeight="1" x14ac:dyDescent="0.25">
      <c r="A35" s="68">
        <v>7</v>
      </c>
      <c r="B35" s="76" t="s">
        <v>69</v>
      </c>
      <c r="C35" s="70" t="s">
        <v>48</v>
      </c>
      <c r="D35" s="71">
        <v>38039</v>
      </c>
      <c r="E35" s="64" t="s">
        <v>142</v>
      </c>
      <c r="F35" s="64" t="s">
        <v>143</v>
      </c>
      <c r="G35" s="72">
        <v>4</v>
      </c>
      <c r="H35" s="72">
        <f t="shared" ref="H35:H42" si="41">G35</f>
        <v>4</v>
      </c>
      <c r="I35" s="73">
        <v>93.6</v>
      </c>
      <c r="J35" s="74">
        <v>2</v>
      </c>
      <c r="K35" s="74">
        <v>2</v>
      </c>
      <c r="L35" s="74">
        <f t="shared" ref="L35:L44" si="42">J35-K35</f>
        <v>0</v>
      </c>
      <c r="M35" s="73">
        <v>93.6</v>
      </c>
      <c r="N35" s="73">
        <v>93.6</v>
      </c>
      <c r="O35" s="73">
        <f>M35-N35</f>
        <v>0</v>
      </c>
      <c r="P35" s="73">
        <f t="shared" si="34"/>
        <v>3367728</v>
      </c>
      <c r="Q35" s="50">
        <v>0</v>
      </c>
      <c r="R35" s="109">
        <v>2357406.52</v>
      </c>
      <c r="S35" s="73">
        <f>M35*35980-R35</f>
        <v>1010321.48</v>
      </c>
      <c r="T35" s="50">
        <v>0</v>
      </c>
      <c r="U35" s="57">
        <f t="shared" ref="U35" si="43">SUM(U37:U46)</f>
        <v>0</v>
      </c>
      <c r="V35" s="58"/>
    </row>
    <row r="36" spans="1:59" ht="27" customHeight="1" x14ac:dyDescent="0.25">
      <c r="A36" s="68">
        <v>8</v>
      </c>
      <c r="B36" s="76" t="s">
        <v>71</v>
      </c>
      <c r="C36" s="70" t="s">
        <v>48</v>
      </c>
      <c r="D36" s="71">
        <v>38039</v>
      </c>
      <c r="E36" s="64" t="s">
        <v>142</v>
      </c>
      <c r="F36" s="64" t="s">
        <v>143</v>
      </c>
      <c r="G36" s="72">
        <v>8</v>
      </c>
      <c r="H36" s="72">
        <f t="shared" si="41"/>
        <v>8</v>
      </c>
      <c r="I36" s="73">
        <v>93.8</v>
      </c>
      <c r="J36" s="74">
        <v>2</v>
      </c>
      <c r="K36" s="74">
        <v>1</v>
      </c>
      <c r="L36" s="74">
        <f t="shared" si="42"/>
        <v>1</v>
      </c>
      <c r="M36" s="73">
        <f>N36+O36</f>
        <v>93.8</v>
      </c>
      <c r="N36" s="73">
        <v>47.2</v>
      </c>
      <c r="O36" s="73">
        <v>46.6</v>
      </c>
      <c r="P36" s="73">
        <f t="shared" si="34"/>
        <v>3374924</v>
      </c>
      <c r="Q36" s="50">
        <v>0</v>
      </c>
      <c r="R36" s="109">
        <v>2362443.71</v>
      </c>
      <c r="S36" s="73">
        <f t="shared" si="35"/>
        <v>1012480.29</v>
      </c>
      <c r="T36" s="50">
        <v>0</v>
      </c>
      <c r="U36" s="57">
        <f t="shared" ref="U36" si="44">SUM(U38:U47)</f>
        <v>0</v>
      </c>
      <c r="V36" s="58"/>
    </row>
    <row r="37" spans="1:59" ht="29.25" customHeight="1" x14ac:dyDescent="0.25">
      <c r="A37" s="68">
        <v>9</v>
      </c>
      <c r="B37" s="76" t="s">
        <v>72</v>
      </c>
      <c r="C37" s="70" t="s">
        <v>48</v>
      </c>
      <c r="D37" s="71">
        <v>38039</v>
      </c>
      <c r="E37" s="64" t="s">
        <v>142</v>
      </c>
      <c r="F37" s="64" t="s">
        <v>143</v>
      </c>
      <c r="G37" s="72">
        <v>4</v>
      </c>
      <c r="H37" s="72">
        <f t="shared" si="41"/>
        <v>4</v>
      </c>
      <c r="I37" s="73">
        <v>97.9</v>
      </c>
      <c r="J37" s="74">
        <v>1</v>
      </c>
      <c r="K37" s="74">
        <v>0</v>
      </c>
      <c r="L37" s="74">
        <f t="shared" si="42"/>
        <v>1</v>
      </c>
      <c r="M37" s="73">
        <v>48</v>
      </c>
      <c r="N37" s="73">
        <v>0</v>
      </c>
      <c r="O37" s="73">
        <f t="shared" ref="O37:O42" si="45">M37-N37</f>
        <v>48</v>
      </c>
      <c r="P37" s="73">
        <f t="shared" si="34"/>
        <v>1727040</v>
      </c>
      <c r="Q37" s="50">
        <v>0</v>
      </c>
      <c r="R37" s="109">
        <v>1208926.42</v>
      </c>
      <c r="S37" s="73">
        <f t="shared" si="35"/>
        <v>518113.58</v>
      </c>
      <c r="T37" s="50">
        <v>0</v>
      </c>
      <c r="U37" s="57">
        <f t="shared" ref="U37" si="46">SUM(U39:U48)</f>
        <v>0</v>
      </c>
      <c r="V37" s="58"/>
    </row>
    <row r="38" spans="1:59" ht="26.25" customHeight="1" x14ac:dyDescent="0.25">
      <c r="A38" s="68">
        <v>10</v>
      </c>
      <c r="B38" s="78" t="s">
        <v>74</v>
      </c>
      <c r="C38" s="70" t="s">
        <v>48</v>
      </c>
      <c r="D38" s="71">
        <v>38039</v>
      </c>
      <c r="E38" s="64" t="s">
        <v>142</v>
      </c>
      <c r="F38" s="64" t="s">
        <v>143</v>
      </c>
      <c r="G38" s="72">
        <v>7</v>
      </c>
      <c r="H38" s="72">
        <f t="shared" si="41"/>
        <v>7</v>
      </c>
      <c r="I38" s="73">
        <v>111.3</v>
      </c>
      <c r="J38" s="79">
        <v>4</v>
      </c>
      <c r="K38" s="79">
        <v>0</v>
      </c>
      <c r="L38" s="74">
        <f t="shared" si="42"/>
        <v>4</v>
      </c>
      <c r="M38" s="73">
        <v>111.3</v>
      </c>
      <c r="N38" s="73">
        <v>0</v>
      </c>
      <c r="O38" s="73">
        <f t="shared" si="45"/>
        <v>111.3</v>
      </c>
      <c r="P38" s="73">
        <f t="shared" si="34"/>
        <v>4004574</v>
      </c>
      <c r="Q38" s="50">
        <v>0</v>
      </c>
      <c r="R38" s="109">
        <v>2803198.13</v>
      </c>
      <c r="S38" s="73">
        <f t="shared" si="35"/>
        <v>1201375.8700000001</v>
      </c>
      <c r="T38" s="50">
        <v>0</v>
      </c>
      <c r="U38" s="57">
        <f t="shared" ref="U38" si="47">SUM(U40:U49)</f>
        <v>0</v>
      </c>
      <c r="V38" s="58"/>
    </row>
    <row r="39" spans="1:59" ht="25.5" customHeight="1" x14ac:dyDescent="0.25">
      <c r="A39" s="68">
        <v>11</v>
      </c>
      <c r="B39" s="78" t="s">
        <v>75</v>
      </c>
      <c r="C39" s="70" t="s">
        <v>48</v>
      </c>
      <c r="D39" s="71">
        <v>38039</v>
      </c>
      <c r="E39" s="64" t="s">
        <v>142</v>
      </c>
      <c r="F39" s="64" t="s">
        <v>143</v>
      </c>
      <c r="G39" s="72">
        <v>14</v>
      </c>
      <c r="H39" s="72">
        <f t="shared" si="41"/>
        <v>14</v>
      </c>
      <c r="I39" s="73">
        <v>111.3</v>
      </c>
      <c r="J39" s="79">
        <v>4</v>
      </c>
      <c r="K39" s="79">
        <v>0</v>
      </c>
      <c r="L39" s="74">
        <f t="shared" si="42"/>
        <v>4</v>
      </c>
      <c r="M39" s="73">
        <v>111.3</v>
      </c>
      <c r="N39" s="73">
        <v>0</v>
      </c>
      <c r="O39" s="73">
        <f t="shared" si="45"/>
        <v>111.3</v>
      </c>
      <c r="P39" s="73">
        <f t="shared" si="34"/>
        <v>4004574</v>
      </c>
      <c r="Q39" s="50">
        <v>0</v>
      </c>
      <c r="R39" s="109">
        <v>2803198.13</v>
      </c>
      <c r="S39" s="73">
        <f t="shared" si="35"/>
        <v>1201375.8700000001</v>
      </c>
      <c r="T39" s="50">
        <v>0</v>
      </c>
      <c r="U39" s="57">
        <f t="shared" ref="U39" si="48">SUM(U41:U50)</f>
        <v>0</v>
      </c>
      <c r="V39" s="58"/>
    </row>
    <row r="40" spans="1:59" ht="30" customHeight="1" x14ac:dyDescent="0.25">
      <c r="A40" s="68">
        <v>12</v>
      </c>
      <c r="B40" s="78" t="s">
        <v>76</v>
      </c>
      <c r="C40" s="70" t="s">
        <v>48</v>
      </c>
      <c r="D40" s="71">
        <v>38039</v>
      </c>
      <c r="E40" s="64" t="s">
        <v>142</v>
      </c>
      <c r="F40" s="64" t="s">
        <v>143</v>
      </c>
      <c r="G40" s="72">
        <v>6</v>
      </c>
      <c r="H40" s="72">
        <f t="shared" si="41"/>
        <v>6</v>
      </c>
      <c r="I40" s="73">
        <v>111.3</v>
      </c>
      <c r="J40" s="79">
        <v>4</v>
      </c>
      <c r="K40" s="79">
        <v>0</v>
      </c>
      <c r="L40" s="74">
        <f t="shared" si="42"/>
        <v>4</v>
      </c>
      <c r="M40" s="73">
        <v>111.3</v>
      </c>
      <c r="N40" s="73">
        <v>0</v>
      </c>
      <c r="O40" s="73">
        <f t="shared" si="45"/>
        <v>111.3</v>
      </c>
      <c r="P40" s="73">
        <f t="shared" si="34"/>
        <v>4004574</v>
      </c>
      <c r="Q40" s="50">
        <v>0</v>
      </c>
      <c r="R40" s="109">
        <v>2803198.13</v>
      </c>
      <c r="S40" s="73">
        <f t="shared" si="35"/>
        <v>1201375.8700000001</v>
      </c>
      <c r="T40" s="50">
        <v>0</v>
      </c>
      <c r="U40" s="57">
        <f t="shared" ref="U40" si="49">SUM(U42:U51)</f>
        <v>0</v>
      </c>
      <c r="V40" s="58"/>
    </row>
    <row r="41" spans="1:59" s="81" customFormat="1" ht="27" customHeight="1" x14ac:dyDescent="0.25">
      <c r="A41" s="68">
        <v>13</v>
      </c>
      <c r="B41" s="76" t="s">
        <v>84</v>
      </c>
      <c r="C41" s="70" t="s">
        <v>48</v>
      </c>
      <c r="D41" s="71">
        <v>38041</v>
      </c>
      <c r="E41" s="64" t="s">
        <v>142</v>
      </c>
      <c r="F41" s="64" t="s">
        <v>143</v>
      </c>
      <c r="G41" s="72">
        <v>4</v>
      </c>
      <c r="H41" s="72">
        <f>G41</f>
        <v>4</v>
      </c>
      <c r="I41" s="73">
        <v>93.6</v>
      </c>
      <c r="J41" s="74">
        <v>2</v>
      </c>
      <c r="K41" s="74">
        <v>1</v>
      </c>
      <c r="L41" s="74">
        <f t="shared" si="42"/>
        <v>1</v>
      </c>
      <c r="M41" s="73">
        <v>93.6</v>
      </c>
      <c r="N41" s="73">
        <v>47.4</v>
      </c>
      <c r="O41" s="73">
        <f>M41-N41</f>
        <v>46.2</v>
      </c>
      <c r="P41" s="73">
        <f t="shared" si="34"/>
        <v>3367728</v>
      </c>
      <c r="Q41" s="50">
        <v>0</v>
      </c>
      <c r="R41" s="109">
        <v>2357406.52</v>
      </c>
      <c r="S41" s="73">
        <f t="shared" si="35"/>
        <v>1010321.48</v>
      </c>
      <c r="T41" s="50">
        <v>0</v>
      </c>
      <c r="U41" s="57">
        <f t="shared" ref="U41" si="50">SUM(U43:U52)</f>
        <v>0</v>
      </c>
      <c r="V41" s="58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</row>
    <row r="42" spans="1:59" ht="27.75" customHeight="1" x14ac:dyDescent="0.25">
      <c r="A42" s="68">
        <v>14</v>
      </c>
      <c r="B42" s="76" t="s">
        <v>67</v>
      </c>
      <c r="C42" s="70" t="s">
        <v>48</v>
      </c>
      <c r="D42" s="71">
        <v>38041</v>
      </c>
      <c r="E42" s="64" t="s">
        <v>142</v>
      </c>
      <c r="F42" s="64" t="s">
        <v>143</v>
      </c>
      <c r="G42" s="72">
        <v>12</v>
      </c>
      <c r="H42" s="72">
        <f t="shared" si="41"/>
        <v>12</v>
      </c>
      <c r="I42" s="73">
        <v>92.9</v>
      </c>
      <c r="J42" s="74">
        <v>3</v>
      </c>
      <c r="K42" s="74">
        <v>0</v>
      </c>
      <c r="L42" s="74">
        <f t="shared" si="42"/>
        <v>3</v>
      </c>
      <c r="M42" s="73">
        <v>92.9</v>
      </c>
      <c r="N42" s="73">
        <v>0</v>
      </c>
      <c r="O42" s="73">
        <f t="shared" si="45"/>
        <v>92.9</v>
      </c>
      <c r="P42" s="73">
        <f t="shared" si="34"/>
        <v>3342542</v>
      </c>
      <c r="Q42" s="50">
        <v>0</v>
      </c>
      <c r="R42" s="109">
        <v>2339776.34</v>
      </c>
      <c r="S42" s="73">
        <f t="shared" si="35"/>
        <v>1002765.66</v>
      </c>
      <c r="T42" s="50">
        <v>0</v>
      </c>
      <c r="U42" s="57">
        <f t="shared" ref="U42" si="51">SUM(U44:U53)</f>
        <v>0</v>
      </c>
      <c r="V42" s="58"/>
    </row>
    <row r="43" spans="1:59" s="81" customFormat="1" ht="31.5" customHeight="1" x14ac:dyDescent="0.25">
      <c r="A43" s="68">
        <v>15</v>
      </c>
      <c r="B43" s="76" t="s">
        <v>86</v>
      </c>
      <c r="C43" s="70" t="s">
        <v>48</v>
      </c>
      <c r="D43" s="71">
        <v>38042</v>
      </c>
      <c r="E43" s="64" t="s">
        <v>142</v>
      </c>
      <c r="F43" s="64" t="s">
        <v>143</v>
      </c>
      <c r="G43" s="72">
        <v>6</v>
      </c>
      <c r="H43" s="72">
        <f>G43</f>
        <v>6</v>
      </c>
      <c r="I43" s="73">
        <f>M43</f>
        <v>92.8</v>
      </c>
      <c r="J43" s="74">
        <v>3</v>
      </c>
      <c r="K43" s="74">
        <v>2</v>
      </c>
      <c r="L43" s="74">
        <f t="shared" si="42"/>
        <v>1</v>
      </c>
      <c r="M43" s="73">
        <v>92.8</v>
      </c>
      <c r="N43" s="73">
        <f>21.5+46.1</f>
        <v>67.599999999999994</v>
      </c>
      <c r="O43" s="73">
        <f t="shared" ref="O43:O48" si="52">M43-N43</f>
        <v>25.2</v>
      </c>
      <c r="P43" s="73">
        <f t="shared" si="34"/>
        <v>3338944</v>
      </c>
      <c r="Q43" s="50">
        <v>0</v>
      </c>
      <c r="R43" s="109">
        <v>2337257.7400000002</v>
      </c>
      <c r="S43" s="73">
        <f t="shared" si="35"/>
        <v>1001686.26</v>
      </c>
      <c r="T43" s="50">
        <v>0</v>
      </c>
      <c r="U43" s="57">
        <f t="shared" ref="U43" si="53">SUM(U45:U54)</f>
        <v>0</v>
      </c>
      <c r="V43" s="58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80"/>
      <c r="BB43" s="80"/>
      <c r="BC43" s="80"/>
      <c r="BD43" s="80"/>
      <c r="BE43" s="80"/>
      <c r="BF43" s="80"/>
      <c r="BG43" s="80"/>
    </row>
    <row r="44" spans="1:59" s="81" customFormat="1" ht="25.5" customHeight="1" x14ac:dyDescent="0.25">
      <c r="A44" s="68">
        <v>16</v>
      </c>
      <c r="B44" s="76" t="s">
        <v>88</v>
      </c>
      <c r="C44" s="70" t="s">
        <v>48</v>
      </c>
      <c r="D44" s="71">
        <v>38042</v>
      </c>
      <c r="E44" s="64" t="s">
        <v>142</v>
      </c>
      <c r="F44" s="64" t="s">
        <v>143</v>
      </c>
      <c r="G44" s="72">
        <v>5</v>
      </c>
      <c r="H44" s="72">
        <f>G44</f>
        <v>5</v>
      </c>
      <c r="I44" s="73">
        <v>94</v>
      </c>
      <c r="J44" s="74">
        <v>2</v>
      </c>
      <c r="K44" s="74">
        <v>1</v>
      </c>
      <c r="L44" s="74">
        <f t="shared" si="42"/>
        <v>1</v>
      </c>
      <c r="M44" s="73">
        <v>94</v>
      </c>
      <c r="N44" s="73">
        <v>46.8</v>
      </c>
      <c r="O44" s="73">
        <f t="shared" si="52"/>
        <v>47.2</v>
      </c>
      <c r="P44" s="73">
        <f t="shared" si="34"/>
        <v>3382120</v>
      </c>
      <c r="Q44" s="50">
        <v>0</v>
      </c>
      <c r="R44" s="109">
        <v>2367480.9</v>
      </c>
      <c r="S44" s="73">
        <f t="shared" si="35"/>
        <v>1014639.1</v>
      </c>
      <c r="T44" s="50">
        <v>0</v>
      </c>
      <c r="U44" s="57">
        <f t="shared" ref="U44" si="54">SUM(U46:U55)</f>
        <v>0</v>
      </c>
      <c r="V44" s="58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80"/>
      <c r="BB44" s="80"/>
      <c r="BC44" s="80"/>
      <c r="BD44" s="80"/>
      <c r="BE44" s="80"/>
      <c r="BF44" s="80"/>
      <c r="BG44" s="80"/>
    </row>
    <row r="45" spans="1:59" s="81" customFormat="1" ht="25.5" customHeight="1" x14ac:dyDescent="0.25">
      <c r="A45" s="68">
        <v>17</v>
      </c>
      <c r="B45" s="76" t="s">
        <v>53</v>
      </c>
      <c r="C45" s="70" t="s">
        <v>48</v>
      </c>
      <c r="D45" s="71">
        <v>38047</v>
      </c>
      <c r="E45" s="64" t="s">
        <v>142</v>
      </c>
      <c r="F45" s="64" t="s">
        <v>143</v>
      </c>
      <c r="G45" s="72">
        <v>5</v>
      </c>
      <c r="H45" s="72">
        <v>5</v>
      </c>
      <c r="I45" s="73">
        <v>87.4</v>
      </c>
      <c r="J45" s="74">
        <v>2</v>
      </c>
      <c r="K45" s="74">
        <v>0</v>
      </c>
      <c r="L45" s="74">
        <v>2</v>
      </c>
      <c r="M45" s="73">
        <v>87.4</v>
      </c>
      <c r="N45" s="73">
        <v>0</v>
      </c>
      <c r="O45" s="73">
        <f t="shared" si="52"/>
        <v>87.4</v>
      </c>
      <c r="P45" s="73">
        <f t="shared" si="34"/>
        <v>3232663.8</v>
      </c>
      <c r="Q45" s="50">
        <v>0</v>
      </c>
      <c r="R45" s="50">
        <v>0</v>
      </c>
      <c r="S45" s="73">
        <f>M45*36987</f>
        <v>3232663.8</v>
      </c>
      <c r="T45" s="50">
        <v>0</v>
      </c>
      <c r="U45" s="57">
        <f t="shared" ref="U45" si="55">SUM(U47:U56)</f>
        <v>0</v>
      </c>
      <c r="V45" s="58"/>
      <c r="W45" s="80"/>
      <c r="X45" s="80"/>
      <c r="Y45" s="80"/>
      <c r="Z45" s="80"/>
      <c r="AA45" s="80"/>
      <c r="AB45" s="80"/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80"/>
      <c r="AU45" s="80"/>
      <c r="AV45" s="80"/>
      <c r="AW45" s="80"/>
      <c r="AX45" s="80"/>
      <c r="AY45" s="80"/>
      <c r="AZ45" s="80"/>
      <c r="BA45" s="80"/>
      <c r="BB45" s="80"/>
      <c r="BC45" s="80"/>
      <c r="BD45" s="80"/>
      <c r="BE45" s="80"/>
      <c r="BF45" s="80"/>
      <c r="BG45" s="80"/>
    </row>
    <row r="46" spans="1:59" s="81" customFormat="1" ht="25.5" customHeight="1" x14ac:dyDescent="0.25">
      <c r="A46" s="68">
        <v>18</v>
      </c>
      <c r="B46" s="76" t="s">
        <v>85</v>
      </c>
      <c r="C46" s="70" t="s">
        <v>48</v>
      </c>
      <c r="D46" s="64" t="s">
        <v>49</v>
      </c>
      <c r="E46" s="64" t="s">
        <v>142</v>
      </c>
      <c r="F46" s="64" t="s">
        <v>143</v>
      </c>
      <c r="G46" s="72">
        <v>7</v>
      </c>
      <c r="H46" s="72">
        <v>7</v>
      </c>
      <c r="I46" s="73">
        <v>29.1</v>
      </c>
      <c r="J46" s="74">
        <v>1</v>
      </c>
      <c r="K46" s="74">
        <v>0</v>
      </c>
      <c r="L46" s="74">
        <v>1</v>
      </c>
      <c r="M46" s="73">
        <v>29.1</v>
      </c>
      <c r="N46" s="73">
        <v>0</v>
      </c>
      <c r="O46" s="73">
        <f t="shared" si="52"/>
        <v>29.1</v>
      </c>
      <c r="P46" s="73">
        <f t="shared" si="34"/>
        <v>1076321.7</v>
      </c>
      <c r="Q46" s="50">
        <v>0</v>
      </c>
      <c r="R46" s="50">
        <v>0</v>
      </c>
      <c r="S46" s="73">
        <f t="shared" ref="S46:S48" si="56">M46*36987</f>
        <v>1076321.7</v>
      </c>
      <c r="T46" s="50">
        <v>0</v>
      </c>
      <c r="U46" s="57">
        <f t="shared" ref="U46" si="57">SUM(U48:U57)</f>
        <v>0</v>
      </c>
      <c r="V46" s="58"/>
      <c r="W46" s="80"/>
      <c r="X46" s="80"/>
      <c r="Y46" s="80"/>
      <c r="Z46" s="80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</row>
    <row r="47" spans="1:59" s="81" customFormat="1" ht="25.5" customHeight="1" x14ac:dyDescent="0.25">
      <c r="A47" s="68">
        <v>19</v>
      </c>
      <c r="B47" s="76" t="s">
        <v>101</v>
      </c>
      <c r="C47" s="70" t="s">
        <v>48</v>
      </c>
      <c r="D47" s="71">
        <v>38042</v>
      </c>
      <c r="E47" s="64" t="s">
        <v>142</v>
      </c>
      <c r="F47" s="64" t="s">
        <v>143</v>
      </c>
      <c r="G47" s="72">
        <v>2</v>
      </c>
      <c r="H47" s="72">
        <v>2</v>
      </c>
      <c r="I47" s="73">
        <v>29</v>
      </c>
      <c r="J47" s="74">
        <v>1</v>
      </c>
      <c r="K47" s="74">
        <v>0</v>
      </c>
      <c r="L47" s="74">
        <v>1</v>
      </c>
      <c r="M47" s="73">
        <v>29</v>
      </c>
      <c r="N47" s="73">
        <v>0</v>
      </c>
      <c r="O47" s="73">
        <f t="shared" si="52"/>
        <v>29</v>
      </c>
      <c r="P47" s="73">
        <f t="shared" si="34"/>
        <v>1072623</v>
      </c>
      <c r="Q47" s="50">
        <v>0</v>
      </c>
      <c r="R47" s="50">
        <v>0</v>
      </c>
      <c r="S47" s="73">
        <f t="shared" si="56"/>
        <v>1072623</v>
      </c>
      <c r="T47" s="50">
        <v>0</v>
      </c>
      <c r="U47" s="57">
        <f t="shared" ref="U47" si="58">SUM(U49:U58)</f>
        <v>0</v>
      </c>
      <c r="V47" s="58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</row>
    <row r="48" spans="1:59" s="81" customFormat="1" ht="25.5" customHeight="1" x14ac:dyDescent="0.25">
      <c r="A48" s="68">
        <v>20</v>
      </c>
      <c r="B48" s="76" t="s">
        <v>131</v>
      </c>
      <c r="C48" s="70" t="s">
        <v>48</v>
      </c>
      <c r="D48" s="64" t="s">
        <v>106</v>
      </c>
      <c r="E48" s="64" t="s">
        <v>142</v>
      </c>
      <c r="F48" s="64" t="s">
        <v>143</v>
      </c>
      <c r="G48" s="72">
        <v>1</v>
      </c>
      <c r="H48" s="72">
        <v>1</v>
      </c>
      <c r="I48" s="73">
        <v>39.299999999999997</v>
      </c>
      <c r="J48" s="74">
        <v>1</v>
      </c>
      <c r="K48" s="74">
        <v>1</v>
      </c>
      <c r="L48" s="74">
        <v>0</v>
      </c>
      <c r="M48" s="73">
        <v>39.299999999999997</v>
      </c>
      <c r="N48" s="73">
        <v>39.299999999999997</v>
      </c>
      <c r="O48" s="73">
        <f t="shared" si="52"/>
        <v>0</v>
      </c>
      <c r="P48" s="73">
        <f t="shared" si="34"/>
        <v>1453589.1</v>
      </c>
      <c r="Q48" s="50">
        <v>0</v>
      </c>
      <c r="R48" s="50">
        <v>0</v>
      </c>
      <c r="S48" s="73">
        <f t="shared" si="56"/>
        <v>1453589.1</v>
      </c>
      <c r="T48" s="50">
        <v>0</v>
      </c>
      <c r="U48" s="57">
        <f t="shared" ref="U48" si="59">SUM(U50:U59)</f>
        <v>0</v>
      </c>
      <c r="V48" s="58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</row>
    <row r="49" spans="1:59" ht="36" customHeight="1" x14ac:dyDescent="0.25">
      <c r="A49" s="135" t="s">
        <v>118</v>
      </c>
      <c r="B49" s="135"/>
      <c r="C49" s="107"/>
      <c r="D49" s="66" t="s">
        <v>153</v>
      </c>
      <c r="E49" s="107"/>
      <c r="F49" s="107"/>
      <c r="G49" s="50">
        <f t="shared" ref="G49:S49" si="60">G28</f>
        <v>159</v>
      </c>
      <c r="H49" s="50">
        <f t="shared" si="60"/>
        <v>159</v>
      </c>
      <c r="I49" s="51">
        <f t="shared" si="60"/>
        <v>1907.2</v>
      </c>
      <c r="J49" s="50">
        <f t="shared" si="60"/>
        <v>56</v>
      </c>
      <c r="K49" s="50">
        <f t="shared" si="60"/>
        <v>18</v>
      </c>
      <c r="L49" s="50">
        <f t="shared" si="60"/>
        <v>38</v>
      </c>
      <c r="M49" s="51">
        <f t="shared" si="60"/>
        <v>1823.8</v>
      </c>
      <c r="N49" s="51">
        <f t="shared" si="60"/>
        <v>621.70000000000005</v>
      </c>
      <c r="O49" s="51">
        <f t="shared" si="60"/>
        <v>1202.0999999999999</v>
      </c>
      <c r="P49" s="107">
        <f t="shared" si="60"/>
        <v>65806417.600000001</v>
      </c>
      <c r="Q49" s="50">
        <f t="shared" si="60"/>
        <v>0</v>
      </c>
      <c r="R49" s="107">
        <f t="shared" si="60"/>
        <v>41279800</v>
      </c>
      <c r="S49" s="107">
        <f t="shared" si="60"/>
        <v>24526617.600000001</v>
      </c>
      <c r="T49" s="50">
        <v>0</v>
      </c>
      <c r="U49" s="57">
        <f t="shared" ref="U49" si="61">SUM(U51:U60)</f>
        <v>0</v>
      </c>
      <c r="V49" s="58"/>
    </row>
    <row r="50" spans="1:59" ht="24.95" customHeight="1" x14ac:dyDescent="0.25">
      <c r="A50" s="149" t="s">
        <v>78</v>
      </c>
      <c r="B50" s="151"/>
      <c r="C50" s="82"/>
      <c r="D50" s="83" t="s">
        <v>154</v>
      </c>
      <c r="E50" s="84"/>
      <c r="F50" s="84"/>
      <c r="G50" s="50">
        <f>G52</f>
        <v>170</v>
      </c>
      <c r="H50" s="50">
        <f t="shared" ref="H50:T50" si="62">H52</f>
        <v>170</v>
      </c>
      <c r="I50" s="51">
        <f t="shared" si="62"/>
        <v>1971.29</v>
      </c>
      <c r="J50" s="50">
        <f t="shared" si="62"/>
        <v>51</v>
      </c>
      <c r="K50" s="50">
        <f t="shared" si="62"/>
        <v>19</v>
      </c>
      <c r="L50" s="50">
        <f t="shared" si="62"/>
        <v>32</v>
      </c>
      <c r="M50" s="51">
        <f t="shared" si="62"/>
        <v>1587.4</v>
      </c>
      <c r="N50" s="51">
        <f t="shared" si="62"/>
        <v>696</v>
      </c>
      <c r="O50" s="51">
        <f t="shared" si="62"/>
        <v>891.4</v>
      </c>
      <c r="P50" s="107">
        <f t="shared" si="62"/>
        <v>57114652</v>
      </c>
      <c r="Q50" s="107">
        <f t="shared" si="62"/>
        <v>30271300</v>
      </c>
      <c r="R50" s="107">
        <f t="shared" si="62"/>
        <v>20871100</v>
      </c>
      <c r="S50" s="107">
        <f t="shared" si="62"/>
        <v>5972252</v>
      </c>
      <c r="T50" s="50">
        <f t="shared" si="62"/>
        <v>0</v>
      </c>
      <c r="U50" s="50">
        <f t="shared" ref="U50" si="63">SUM(U52:U61)</f>
        <v>0</v>
      </c>
      <c r="V50" s="58"/>
    </row>
    <row r="51" spans="1:59" ht="24.95" customHeight="1" x14ac:dyDescent="0.25">
      <c r="A51" s="149" t="s">
        <v>119</v>
      </c>
      <c r="B51" s="150"/>
      <c r="C51" s="107"/>
      <c r="D51" s="83" t="s">
        <v>154</v>
      </c>
      <c r="E51" s="84"/>
      <c r="F51" s="84"/>
      <c r="G51" s="50">
        <f>G52</f>
        <v>170</v>
      </c>
      <c r="H51" s="50">
        <f t="shared" ref="H51:T51" si="64">H52</f>
        <v>170</v>
      </c>
      <c r="I51" s="51">
        <f t="shared" si="64"/>
        <v>1971.29</v>
      </c>
      <c r="J51" s="50">
        <f t="shared" si="64"/>
        <v>51</v>
      </c>
      <c r="K51" s="50">
        <f t="shared" si="64"/>
        <v>19</v>
      </c>
      <c r="L51" s="50">
        <f t="shared" si="64"/>
        <v>32</v>
      </c>
      <c r="M51" s="51">
        <f t="shared" si="64"/>
        <v>1587.4</v>
      </c>
      <c r="N51" s="51">
        <f t="shared" si="64"/>
        <v>696</v>
      </c>
      <c r="O51" s="51">
        <f t="shared" si="64"/>
        <v>891.4</v>
      </c>
      <c r="P51" s="107">
        <f t="shared" si="64"/>
        <v>57114652</v>
      </c>
      <c r="Q51" s="107">
        <f t="shared" si="64"/>
        <v>30271300</v>
      </c>
      <c r="R51" s="107">
        <f t="shared" si="64"/>
        <v>20871100</v>
      </c>
      <c r="S51" s="107">
        <f t="shared" si="64"/>
        <v>5972252</v>
      </c>
      <c r="T51" s="50">
        <f t="shared" si="64"/>
        <v>0</v>
      </c>
      <c r="U51" s="50">
        <f t="shared" ref="U51" si="65">SUM(U53:U62)</f>
        <v>0</v>
      </c>
      <c r="V51" s="58"/>
    </row>
    <row r="52" spans="1:59" ht="24.95" customHeight="1" x14ac:dyDescent="0.25">
      <c r="A52" s="149" t="s">
        <v>102</v>
      </c>
      <c r="B52" s="150"/>
      <c r="C52" s="107"/>
      <c r="D52" s="83" t="s">
        <v>154</v>
      </c>
      <c r="E52" s="84"/>
      <c r="F52" s="84"/>
      <c r="G52" s="50">
        <f>SUM(G53:G67)</f>
        <v>170</v>
      </c>
      <c r="H52" s="50">
        <f t="shared" ref="H52:T52" si="66">SUM(H53:H67)</f>
        <v>170</v>
      </c>
      <c r="I52" s="51">
        <f t="shared" si="66"/>
        <v>1971.29</v>
      </c>
      <c r="J52" s="50">
        <f t="shared" si="66"/>
        <v>51</v>
      </c>
      <c r="K52" s="50">
        <f t="shared" si="66"/>
        <v>19</v>
      </c>
      <c r="L52" s="50">
        <f t="shared" si="66"/>
        <v>32</v>
      </c>
      <c r="M52" s="51">
        <f t="shared" si="66"/>
        <v>1587.4</v>
      </c>
      <c r="N52" s="51">
        <f t="shared" si="66"/>
        <v>696</v>
      </c>
      <c r="O52" s="51">
        <f t="shared" si="66"/>
        <v>891.4</v>
      </c>
      <c r="P52" s="107">
        <f t="shared" si="66"/>
        <v>57114652</v>
      </c>
      <c r="Q52" s="107">
        <f t="shared" si="66"/>
        <v>30271300</v>
      </c>
      <c r="R52" s="107">
        <f t="shared" si="66"/>
        <v>20871100</v>
      </c>
      <c r="S52" s="107">
        <f t="shared" si="66"/>
        <v>5972252</v>
      </c>
      <c r="T52" s="50">
        <f t="shared" si="66"/>
        <v>0</v>
      </c>
      <c r="U52" s="50">
        <f t="shared" ref="U52" si="67">SUM(U54:U63)</f>
        <v>0</v>
      </c>
      <c r="V52" s="58"/>
    </row>
    <row r="53" spans="1:59" ht="30.75" customHeight="1" x14ac:dyDescent="0.25">
      <c r="A53" s="85">
        <v>1</v>
      </c>
      <c r="B53" s="86" t="s">
        <v>53</v>
      </c>
      <c r="C53" s="70" t="s">
        <v>48</v>
      </c>
      <c r="D53" s="71">
        <v>38047</v>
      </c>
      <c r="E53" s="64" t="s">
        <v>144</v>
      </c>
      <c r="F53" s="64" t="s">
        <v>145</v>
      </c>
      <c r="G53" s="72">
        <v>19</v>
      </c>
      <c r="H53" s="72">
        <f>G53</f>
        <v>19</v>
      </c>
      <c r="I53" s="73">
        <f>375.5-87.4</f>
        <v>288.10000000000002</v>
      </c>
      <c r="J53" s="74">
        <v>3</v>
      </c>
      <c r="K53" s="74">
        <v>0</v>
      </c>
      <c r="L53" s="74">
        <f>J53-K53</f>
        <v>3</v>
      </c>
      <c r="M53" s="73">
        <v>113.1</v>
      </c>
      <c r="N53" s="73">
        <v>0</v>
      </c>
      <c r="O53" s="73">
        <f>M53-N53</f>
        <v>113.1</v>
      </c>
      <c r="P53" s="73">
        <f>M53*35980</f>
        <v>4069338</v>
      </c>
      <c r="Q53" s="117">
        <f>P53*53.0009358%</f>
        <v>2156787.2200000002</v>
      </c>
      <c r="R53" s="117">
        <f>P53*36.542462%</f>
        <v>1487036.29</v>
      </c>
      <c r="S53" s="73">
        <f>P53-Q53-R53</f>
        <v>425514.49</v>
      </c>
      <c r="T53" s="50">
        <v>0</v>
      </c>
      <c r="U53" s="50">
        <f t="shared" ref="U53" si="68">SUM(U55:U64)</f>
        <v>0</v>
      </c>
      <c r="V53" s="58"/>
    </row>
    <row r="54" spans="1:59" s="81" customFormat="1" ht="31.5" customHeight="1" x14ac:dyDescent="0.25">
      <c r="A54" s="85">
        <v>2</v>
      </c>
      <c r="B54" s="75" t="s">
        <v>98</v>
      </c>
      <c r="C54" s="70" t="s">
        <v>48</v>
      </c>
      <c r="D54" s="71">
        <v>38042</v>
      </c>
      <c r="E54" s="64" t="s">
        <v>144</v>
      </c>
      <c r="F54" s="64" t="s">
        <v>145</v>
      </c>
      <c r="G54" s="72">
        <v>7</v>
      </c>
      <c r="H54" s="72">
        <f>G54</f>
        <v>7</v>
      </c>
      <c r="I54" s="73">
        <v>47.6</v>
      </c>
      <c r="J54" s="74">
        <v>2</v>
      </c>
      <c r="K54" s="74">
        <v>0</v>
      </c>
      <c r="L54" s="74">
        <f>J54-K54</f>
        <v>2</v>
      </c>
      <c r="M54" s="73">
        <f>22+25.6</f>
        <v>47.6</v>
      </c>
      <c r="N54" s="73">
        <v>0</v>
      </c>
      <c r="O54" s="73">
        <f>M54-N54</f>
        <v>47.6</v>
      </c>
      <c r="P54" s="73">
        <f>M54*35980</f>
        <v>1712648</v>
      </c>
      <c r="Q54" s="117">
        <f t="shared" ref="Q54:Q66" si="69">P54*53.0009358%</f>
        <v>907719.47</v>
      </c>
      <c r="R54" s="117">
        <f t="shared" ref="R54:R66" si="70">P54*36.542462%</f>
        <v>625843.74</v>
      </c>
      <c r="S54" s="73">
        <f>P54-Q54-R54</f>
        <v>179084.79</v>
      </c>
      <c r="T54" s="72">
        <v>0</v>
      </c>
      <c r="U54" s="50">
        <f t="shared" ref="U54" si="71">SUM(U56:U65)</f>
        <v>0</v>
      </c>
      <c r="V54" s="58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/>
      <c r="AK54" s="80"/>
      <c r="AL54" s="80"/>
      <c r="AM54" s="80"/>
      <c r="AN54" s="80"/>
      <c r="AO54" s="80"/>
      <c r="AP54" s="80"/>
      <c r="AQ54" s="80"/>
      <c r="AR54" s="80"/>
      <c r="AS54" s="80"/>
      <c r="AT54" s="80"/>
      <c r="AU54" s="80"/>
      <c r="AV54" s="80"/>
      <c r="AW54" s="80"/>
      <c r="AX54" s="80"/>
      <c r="AY54" s="80"/>
      <c r="AZ54" s="80"/>
      <c r="BA54" s="80"/>
      <c r="BB54" s="80"/>
      <c r="BC54" s="80"/>
      <c r="BD54" s="80"/>
      <c r="BE54" s="80"/>
      <c r="BF54" s="80"/>
      <c r="BG54" s="80"/>
    </row>
    <row r="55" spans="1:59" ht="28.5" customHeight="1" x14ac:dyDescent="0.25">
      <c r="A55" s="85">
        <v>3</v>
      </c>
      <c r="B55" s="75" t="s">
        <v>54</v>
      </c>
      <c r="C55" s="70" t="s">
        <v>48</v>
      </c>
      <c r="D55" s="71">
        <v>38042</v>
      </c>
      <c r="E55" s="64" t="s">
        <v>144</v>
      </c>
      <c r="F55" s="64" t="s">
        <v>145</v>
      </c>
      <c r="G55" s="72">
        <v>21</v>
      </c>
      <c r="H55" s="72">
        <f>G55</f>
        <v>21</v>
      </c>
      <c r="I55" s="73">
        <v>157.9</v>
      </c>
      <c r="J55" s="74">
        <v>4</v>
      </c>
      <c r="K55" s="74">
        <v>0</v>
      </c>
      <c r="L55" s="74">
        <f>J55-K55</f>
        <v>4</v>
      </c>
      <c r="M55" s="73">
        <v>157.9</v>
      </c>
      <c r="N55" s="73">
        <v>0</v>
      </c>
      <c r="O55" s="73">
        <f>M55-N55</f>
        <v>157.9</v>
      </c>
      <c r="P55" s="73">
        <f>M55*35980</f>
        <v>5681242</v>
      </c>
      <c r="Q55" s="117">
        <f t="shared" si="69"/>
        <v>3011111.43</v>
      </c>
      <c r="R55" s="117">
        <f t="shared" si="70"/>
        <v>2076065.7</v>
      </c>
      <c r="S55" s="73">
        <f>P55-Q55-R55</f>
        <v>594064.87</v>
      </c>
      <c r="T55" s="50">
        <v>0</v>
      </c>
      <c r="U55" s="50">
        <f t="shared" ref="U55" si="72">SUM(U57:U66)</f>
        <v>0</v>
      </c>
      <c r="V55" s="58"/>
    </row>
    <row r="56" spans="1:59" s="81" customFormat="1" ht="31.5" customHeight="1" x14ac:dyDescent="0.25">
      <c r="A56" s="85">
        <v>4</v>
      </c>
      <c r="B56" s="75" t="s">
        <v>85</v>
      </c>
      <c r="C56" s="70" t="s">
        <v>48</v>
      </c>
      <c r="D56" s="64" t="s">
        <v>49</v>
      </c>
      <c r="E56" s="64" t="s">
        <v>144</v>
      </c>
      <c r="F56" s="64" t="s">
        <v>145</v>
      </c>
      <c r="G56" s="72">
        <f>7+1+2+2+1+5+1+1+3+1-7</f>
        <v>17</v>
      </c>
      <c r="H56" s="72">
        <f>G56</f>
        <v>17</v>
      </c>
      <c r="I56" s="73">
        <f>440.9-10.31-29.1</f>
        <v>401.49</v>
      </c>
      <c r="J56" s="74">
        <f>K56+L56</f>
        <v>8</v>
      </c>
      <c r="K56" s="74">
        <v>7</v>
      </c>
      <c r="L56" s="74">
        <v>1</v>
      </c>
      <c r="M56" s="73">
        <f>N56+O56</f>
        <v>210.6</v>
      </c>
      <c r="N56" s="73">
        <f>210.4-19.5+0.2</f>
        <v>191.1</v>
      </c>
      <c r="O56" s="73">
        <v>19.5</v>
      </c>
      <c r="P56" s="73">
        <f>M56*35980</f>
        <v>7577388</v>
      </c>
      <c r="Q56" s="117">
        <f t="shared" si="69"/>
        <v>4016086.55</v>
      </c>
      <c r="R56" s="117">
        <f t="shared" si="70"/>
        <v>2768964.13</v>
      </c>
      <c r="S56" s="73">
        <f>P56-Q56-R56</f>
        <v>792337.32</v>
      </c>
      <c r="T56" s="50">
        <v>0</v>
      </c>
      <c r="U56" s="50">
        <f t="shared" ref="U56" si="73">SUM(U58:U67)</f>
        <v>0</v>
      </c>
      <c r="V56" s="58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0"/>
      <c r="AW56" s="80"/>
      <c r="AX56" s="80"/>
      <c r="AY56" s="80"/>
      <c r="AZ56" s="80"/>
      <c r="BA56" s="80"/>
      <c r="BB56" s="80"/>
      <c r="BC56" s="80"/>
      <c r="BD56" s="80"/>
      <c r="BE56" s="80"/>
      <c r="BF56" s="80"/>
      <c r="BG56" s="80"/>
    </row>
    <row r="57" spans="1:59" ht="30.75" customHeight="1" x14ac:dyDescent="0.25">
      <c r="A57" s="85">
        <v>5</v>
      </c>
      <c r="B57" s="75" t="s">
        <v>58</v>
      </c>
      <c r="C57" s="70" t="s">
        <v>48</v>
      </c>
      <c r="D57" s="71">
        <v>38042</v>
      </c>
      <c r="E57" s="64" t="s">
        <v>144</v>
      </c>
      <c r="F57" s="64" t="s">
        <v>145</v>
      </c>
      <c r="G57" s="72">
        <v>6</v>
      </c>
      <c r="H57" s="72">
        <f>G57</f>
        <v>6</v>
      </c>
      <c r="I57" s="73">
        <v>116.2</v>
      </c>
      <c r="J57" s="74">
        <v>3</v>
      </c>
      <c r="K57" s="74">
        <v>0</v>
      </c>
      <c r="L57" s="74">
        <f>J57-K57</f>
        <v>3</v>
      </c>
      <c r="M57" s="73">
        <v>116.2</v>
      </c>
      <c r="N57" s="73">
        <v>0</v>
      </c>
      <c r="O57" s="73">
        <f>M57-N57</f>
        <v>116.2</v>
      </c>
      <c r="P57" s="73">
        <f>M57*35980</f>
        <v>4180876</v>
      </c>
      <c r="Q57" s="117">
        <f t="shared" si="69"/>
        <v>2215903.4</v>
      </c>
      <c r="R57" s="117">
        <f t="shared" si="70"/>
        <v>1527795.02</v>
      </c>
      <c r="S57" s="73">
        <f>P57-Q57-R57</f>
        <v>437177.58</v>
      </c>
      <c r="T57" s="50">
        <v>0</v>
      </c>
      <c r="U57" s="50">
        <f t="shared" ref="U57" si="74">SUM(U59:U68)</f>
        <v>0</v>
      </c>
      <c r="V57" s="58"/>
    </row>
    <row r="58" spans="1:59" s="81" customFormat="1" ht="30.75" customHeight="1" x14ac:dyDescent="0.25">
      <c r="A58" s="85">
        <v>6</v>
      </c>
      <c r="B58" s="75" t="s">
        <v>91</v>
      </c>
      <c r="C58" s="70" t="s">
        <v>48</v>
      </c>
      <c r="D58" s="64" t="s">
        <v>105</v>
      </c>
      <c r="E58" s="64" t="s">
        <v>144</v>
      </c>
      <c r="F58" s="64" t="s">
        <v>145</v>
      </c>
      <c r="G58" s="72">
        <v>10</v>
      </c>
      <c r="H58" s="72">
        <f t="shared" ref="H58:H66" si="75">G58</f>
        <v>10</v>
      </c>
      <c r="I58" s="73">
        <f>M58</f>
        <v>114</v>
      </c>
      <c r="J58" s="74">
        <v>2</v>
      </c>
      <c r="K58" s="74">
        <v>2</v>
      </c>
      <c r="L58" s="74">
        <f t="shared" ref="L58:L66" si="76">J58-K58</f>
        <v>0</v>
      </c>
      <c r="M58" s="73">
        <v>114</v>
      </c>
      <c r="N58" s="73">
        <v>114</v>
      </c>
      <c r="O58" s="73">
        <f t="shared" ref="O58:O66" si="77">M58-N58</f>
        <v>0</v>
      </c>
      <c r="P58" s="73">
        <f t="shared" ref="P58:P67" si="78">M58*35980</f>
        <v>4101720</v>
      </c>
      <c r="Q58" s="117">
        <f t="shared" si="69"/>
        <v>2173949.98</v>
      </c>
      <c r="R58" s="117">
        <f t="shared" si="70"/>
        <v>1498869.47</v>
      </c>
      <c r="S58" s="73">
        <f t="shared" ref="S58:S67" si="79">P58-Q58-R58</f>
        <v>428900.55</v>
      </c>
      <c r="T58" s="72">
        <v>0</v>
      </c>
      <c r="U58" s="50">
        <f t="shared" ref="U58" si="80">SUM(U60:U72)</f>
        <v>0</v>
      </c>
      <c r="V58" s="58"/>
      <c r="W58" s="80"/>
      <c r="X58" s="80"/>
      <c r="Y58" s="80"/>
      <c r="Z58" s="80"/>
      <c r="AA58" s="80"/>
      <c r="AB58" s="80"/>
      <c r="AC58" s="80"/>
      <c r="AD58" s="80"/>
      <c r="AE58" s="80"/>
      <c r="AF58" s="80"/>
      <c r="AG58" s="80"/>
      <c r="AH58" s="80"/>
      <c r="AI58" s="80"/>
      <c r="AJ58" s="80"/>
      <c r="AK58" s="80"/>
      <c r="AL58" s="80"/>
      <c r="AM58" s="80"/>
      <c r="AN58" s="80"/>
      <c r="AO58" s="80"/>
      <c r="AP58" s="80"/>
      <c r="AQ58" s="80"/>
      <c r="AR58" s="80"/>
      <c r="AS58" s="80"/>
      <c r="AT58" s="80"/>
      <c r="AU58" s="80"/>
      <c r="AV58" s="80"/>
      <c r="AW58" s="80"/>
      <c r="AX58" s="80"/>
      <c r="AY58" s="80"/>
      <c r="AZ58" s="80"/>
      <c r="BA58" s="80"/>
      <c r="BB58" s="80"/>
      <c r="BC58" s="80"/>
      <c r="BD58" s="80"/>
      <c r="BE58" s="80"/>
      <c r="BF58" s="80"/>
      <c r="BG58" s="80"/>
    </row>
    <row r="59" spans="1:59" s="81" customFormat="1" ht="30.75" customHeight="1" x14ac:dyDescent="0.25">
      <c r="A59" s="85">
        <v>7</v>
      </c>
      <c r="B59" s="75" t="s">
        <v>87</v>
      </c>
      <c r="C59" s="70" t="s">
        <v>48</v>
      </c>
      <c r="D59" s="64" t="s">
        <v>106</v>
      </c>
      <c r="E59" s="64" t="s">
        <v>144</v>
      </c>
      <c r="F59" s="64" t="s">
        <v>145</v>
      </c>
      <c r="G59" s="72">
        <v>8</v>
      </c>
      <c r="H59" s="72">
        <f t="shared" si="75"/>
        <v>8</v>
      </c>
      <c r="I59" s="73">
        <f>M59</f>
        <v>93.9</v>
      </c>
      <c r="J59" s="74">
        <v>3</v>
      </c>
      <c r="K59" s="74">
        <v>2</v>
      </c>
      <c r="L59" s="74">
        <f t="shared" si="76"/>
        <v>1</v>
      </c>
      <c r="M59" s="73">
        <f>N59+O59</f>
        <v>93.9</v>
      </c>
      <c r="N59" s="73">
        <f>24.6+46.2+0.5</f>
        <v>71.3</v>
      </c>
      <c r="O59" s="73">
        <v>22.6</v>
      </c>
      <c r="P59" s="73">
        <f t="shared" si="78"/>
        <v>3378522</v>
      </c>
      <c r="Q59" s="117">
        <f t="shared" si="69"/>
        <v>1790648.28</v>
      </c>
      <c r="R59" s="117">
        <f t="shared" si="70"/>
        <v>1234595.1200000001</v>
      </c>
      <c r="S59" s="73">
        <f t="shared" si="79"/>
        <v>353278.6</v>
      </c>
      <c r="T59" s="72">
        <v>0</v>
      </c>
      <c r="U59" s="50">
        <f t="shared" ref="U59" si="81">SUM(U61:U73)</f>
        <v>0</v>
      </c>
      <c r="V59" s="58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80"/>
      <c r="AQ59" s="80"/>
      <c r="AR59" s="80"/>
      <c r="AS59" s="80"/>
      <c r="AT59" s="80"/>
      <c r="AU59" s="80"/>
      <c r="AV59" s="80"/>
      <c r="AW59" s="80"/>
      <c r="AX59" s="80"/>
      <c r="AY59" s="80"/>
      <c r="AZ59" s="80"/>
      <c r="BA59" s="80"/>
      <c r="BB59" s="80"/>
      <c r="BC59" s="80"/>
      <c r="BD59" s="80"/>
      <c r="BE59" s="80"/>
      <c r="BF59" s="80"/>
      <c r="BG59" s="80"/>
    </row>
    <row r="60" spans="1:59" s="81" customFormat="1" ht="30.75" customHeight="1" x14ac:dyDescent="0.25">
      <c r="A60" s="85">
        <v>8</v>
      </c>
      <c r="B60" s="75" t="s">
        <v>89</v>
      </c>
      <c r="C60" s="70" t="s">
        <v>48</v>
      </c>
      <c r="D60" s="64" t="s">
        <v>106</v>
      </c>
      <c r="E60" s="64" t="s">
        <v>144</v>
      </c>
      <c r="F60" s="64" t="s">
        <v>145</v>
      </c>
      <c r="G60" s="72">
        <v>18</v>
      </c>
      <c r="H60" s="72">
        <f t="shared" si="75"/>
        <v>18</v>
      </c>
      <c r="I60" s="73">
        <v>141.80000000000001</v>
      </c>
      <c r="J60" s="74">
        <f>K60+L60</f>
        <v>4</v>
      </c>
      <c r="K60" s="74">
        <v>4</v>
      </c>
      <c r="L60" s="74">
        <v>0</v>
      </c>
      <c r="M60" s="73">
        <v>141.80000000000001</v>
      </c>
      <c r="N60" s="73">
        <v>141.80000000000001</v>
      </c>
      <c r="O60" s="73">
        <f t="shared" si="77"/>
        <v>0</v>
      </c>
      <c r="P60" s="73">
        <f t="shared" si="78"/>
        <v>5101964</v>
      </c>
      <c r="Q60" s="117">
        <f t="shared" si="69"/>
        <v>2704088.66</v>
      </c>
      <c r="R60" s="117">
        <f t="shared" si="70"/>
        <v>1864383.26</v>
      </c>
      <c r="S60" s="73">
        <f t="shared" si="79"/>
        <v>533492.07999999996</v>
      </c>
      <c r="T60" s="72">
        <v>0</v>
      </c>
      <c r="U60" s="50">
        <f t="shared" ref="U60" si="82">SUM(U62:U74)</f>
        <v>0</v>
      </c>
      <c r="V60" s="58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</row>
    <row r="61" spans="1:59" ht="30.75" customHeight="1" x14ac:dyDescent="0.25">
      <c r="A61" s="85">
        <v>9</v>
      </c>
      <c r="B61" s="86" t="s">
        <v>59</v>
      </c>
      <c r="C61" s="70" t="s">
        <v>48</v>
      </c>
      <c r="D61" s="64" t="s">
        <v>106</v>
      </c>
      <c r="E61" s="64" t="s">
        <v>144</v>
      </c>
      <c r="F61" s="64" t="s">
        <v>145</v>
      </c>
      <c r="G61" s="72">
        <v>20</v>
      </c>
      <c r="H61" s="72">
        <f t="shared" si="75"/>
        <v>20</v>
      </c>
      <c r="I61" s="73">
        <f>M61</f>
        <v>134.80000000000001</v>
      </c>
      <c r="J61" s="74">
        <v>6</v>
      </c>
      <c r="K61" s="74">
        <v>0</v>
      </c>
      <c r="L61" s="74">
        <f t="shared" si="76"/>
        <v>6</v>
      </c>
      <c r="M61" s="73">
        <v>134.80000000000001</v>
      </c>
      <c r="N61" s="73">
        <v>0</v>
      </c>
      <c r="O61" s="73">
        <f t="shared" si="77"/>
        <v>134.80000000000001</v>
      </c>
      <c r="P61" s="73">
        <f t="shared" si="78"/>
        <v>4850104</v>
      </c>
      <c r="Q61" s="117">
        <f t="shared" si="69"/>
        <v>2570600.5099999998</v>
      </c>
      <c r="R61" s="117">
        <f t="shared" si="70"/>
        <v>1772347.41</v>
      </c>
      <c r="S61" s="73">
        <f t="shared" si="79"/>
        <v>507156.08</v>
      </c>
      <c r="T61" s="50">
        <v>0</v>
      </c>
      <c r="U61" s="50">
        <f t="shared" ref="U61" si="83">SUM(U63:U75)</f>
        <v>0</v>
      </c>
      <c r="V61" s="58"/>
    </row>
    <row r="62" spans="1:59" ht="30.75" customHeight="1" x14ac:dyDescent="0.25">
      <c r="A62" s="85">
        <v>10</v>
      </c>
      <c r="B62" s="86" t="s">
        <v>60</v>
      </c>
      <c r="C62" s="70" t="s">
        <v>48</v>
      </c>
      <c r="D62" s="64" t="s">
        <v>106</v>
      </c>
      <c r="E62" s="64" t="s">
        <v>144</v>
      </c>
      <c r="F62" s="64" t="s">
        <v>145</v>
      </c>
      <c r="G62" s="72">
        <v>4</v>
      </c>
      <c r="H62" s="72">
        <f t="shared" si="75"/>
        <v>4</v>
      </c>
      <c r="I62" s="73">
        <f>94.3-39.3</f>
        <v>55</v>
      </c>
      <c r="J62" s="74">
        <f>K62+L62</f>
        <v>2</v>
      </c>
      <c r="K62" s="74">
        <v>0</v>
      </c>
      <c r="L62" s="74">
        <v>2</v>
      </c>
      <c r="M62" s="73">
        <f>76.3-39.3</f>
        <v>37</v>
      </c>
      <c r="N62" s="73">
        <v>0</v>
      </c>
      <c r="O62" s="73">
        <f t="shared" si="77"/>
        <v>37</v>
      </c>
      <c r="P62" s="73">
        <f t="shared" si="78"/>
        <v>1331260</v>
      </c>
      <c r="Q62" s="117">
        <f t="shared" si="69"/>
        <v>705580.26</v>
      </c>
      <c r="R62" s="117">
        <f t="shared" si="70"/>
        <v>486475.18</v>
      </c>
      <c r="S62" s="73">
        <f t="shared" si="79"/>
        <v>139204.56</v>
      </c>
      <c r="T62" s="50">
        <v>0</v>
      </c>
      <c r="U62" s="50">
        <f t="shared" ref="U62" si="84">SUM(U64:U76)</f>
        <v>0</v>
      </c>
      <c r="V62" s="58"/>
    </row>
    <row r="63" spans="1:59" ht="30.75" customHeight="1" x14ac:dyDescent="0.25">
      <c r="A63" s="85">
        <v>11</v>
      </c>
      <c r="B63" s="86" t="s">
        <v>61</v>
      </c>
      <c r="C63" s="70" t="s">
        <v>48</v>
      </c>
      <c r="D63" s="64" t="s">
        <v>106</v>
      </c>
      <c r="E63" s="64" t="s">
        <v>144</v>
      </c>
      <c r="F63" s="64" t="s">
        <v>145</v>
      </c>
      <c r="G63" s="72">
        <v>9</v>
      </c>
      <c r="H63" s="72">
        <f t="shared" si="75"/>
        <v>9</v>
      </c>
      <c r="I63" s="73">
        <f t="shared" ref="I63:I66" si="85">M63</f>
        <v>72.5</v>
      </c>
      <c r="J63" s="74">
        <v>2</v>
      </c>
      <c r="K63" s="74">
        <v>1</v>
      </c>
      <c r="L63" s="74">
        <f t="shared" si="76"/>
        <v>1</v>
      </c>
      <c r="M63" s="73">
        <v>72.5</v>
      </c>
      <c r="N63" s="73">
        <v>54.3</v>
      </c>
      <c r="O63" s="73">
        <f t="shared" si="77"/>
        <v>18.2</v>
      </c>
      <c r="P63" s="73">
        <f t="shared" si="78"/>
        <v>2608550</v>
      </c>
      <c r="Q63" s="117">
        <f t="shared" si="69"/>
        <v>1382555.91</v>
      </c>
      <c r="R63" s="117">
        <f t="shared" si="70"/>
        <v>953228.39</v>
      </c>
      <c r="S63" s="73">
        <f t="shared" si="79"/>
        <v>272765.7</v>
      </c>
      <c r="T63" s="50">
        <v>0</v>
      </c>
      <c r="U63" s="50">
        <f t="shared" ref="U63" si="86">SUM(U65:U77)</f>
        <v>0</v>
      </c>
      <c r="V63" s="58"/>
    </row>
    <row r="64" spans="1:59" ht="30.75" customHeight="1" x14ac:dyDescent="0.25">
      <c r="A64" s="85">
        <v>12</v>
      </c>
      <c r="B64" s="86" t="s">
        <v>62</v>
      </c>
      <c r="C64" s="70" t="s">
        <v>48</v>
      </c>
      <c r="D64" s="64" t="s">
        <v>106</v>
      </c>
      <c r="E64" s="64" t="s">
        <v>144</v>
      </c>
      <c r="F64" s="64" t="s">
        <v>145</v>
      </c>
      <c r="G64" s="72">
        <v>8</v>
      </c>
      <c r="H64" s="72">
        <f t="shared" si="75"/>
        <v>8</v>
      </c>
      <c r="I64" s="73">
        <f t="shared" si="85"/>
        <v>94.9</v>
      </c>
      <c r="J64" s="74">
        <f>K64+L64</f>
        <v>4</v>
      </c>
      <c r="K64" s="74">
        <v>1</v>
      </c>
      <c r="L64" s="74">
        <v>3</v>
      </c>
      <c r="M64" s="73">
        <f>N64+O64</f>
        <v>94.9</v>
      </c>
      <c r="N64" s="73">
        <v>30.8</v>
      </c>
      <c r="O64" s="73">
        <v>64.099999999999994</v>
      </c>
      <c r="P64" s="73">
        <f t="shared" si="78"/>
        <v>3414502</v>
      </c>
      <c r="Q64" s="117">
        <f t="shared" si="69"/>
        <v>1809718.01</v>
      </c>
      <c r="R64" s="117">
        <f t="shared" si="70"/>
        <v>1247743.1000000001</v>
      </c>
      <c r="S64" s="73">
        <f t="shared" si="79"/>
        <v>357040.89</v>
      </c>
      <c r="T64" s="50">
        <v>0</v>
      </c>
      <c r="U64" s="50">
        <f t="shared" ref="U64" si="87">SUM(U66:U78)</f>
        <v>0</v>
      </c>
      <c r="V64" s="58"/>
    </row>
    <row r="65" spans="1:59" ht="30.75" customHeight="1" x14ac:dyDescent="0.25">
      <c r="A65" s="85">
        <v>13</v>
      </c>
      <c r="B65" s="75" t="s">
        <v>63</v>
      </c>
      <c r="C65" s="70" t="s">
        <v>48</v>
      </c>
      <c r="D65" s="64" t="s">
        <v>105</v>
      </c>
      <c r="E65" s="64" t="s">
        <v>144</v>
      </c>
      <c r="F65" s="64" t="s">
        <v>145</v>
      </c>
      <c r="G65" s="72">
        <v>2</v>
      </c>
      <c r="H65" s="72">
        <f>G65</f>
        <v>2</v>
      </c>
      <c r="I65" s="73">
        <f t="shared" si="85"/>
        <v>33.200000000000003</v>
      </c>
      <c r="J65" s="74">
        <v>2</v>
      </c>
      <c r="K65" s="74">
        <v>0</v>
      </c>
      <c r="L65" s="74">
        <f t="shared" si="76"/>
        <v>2</v>
      </c>
      <c r="M65" s="73">
        <v>33.200000000000003</v>
      </c>
      <c r="N65" s="73">
        <v>0</v>
      </c>
      <c r="O65" s="73">
        <f t="shared" si="77"/>
        <v>33.200000000000003</v>
      </c>
      <c r="P65" s="73">
        <f t="shared" si="78"/>
        <v>1194536</v>
      </c>
      <c r="Q65" s="117">
        <f t="shared" si="69"/>
        <v>633115.26</v>
      </c>
      <c r="R65" s="117">
        <f t="shared" si="70"/>
        <v>436512.86</v>
      </c>
      <c r="S65" s="73">
        <f t="shared" si="79"/>
        <v>124907.88</v>
      </c>
      <c r="T65" s="50">
        <v>0</v>
      </c>
      <c r="U65" s="50">
        <f t="shared" ref="U65" si="88">SUM(U67:U79)</f>
        <v>0</v>
      </c>
      <c r="V65" s="58"/>
    </row>
    <row r="66" spans="1:59" s="81" customFormat="1" ht="26.25" customHeight="1" x14ac:dyDescent="0.25">
      <c r="A66" s="85">
        <v>14</v>
      </c>
      <c r="B66" s="75" t="s">
        <v>94</v>
      </c>
      <c r="C66" s="70" t="s">
        <v>48</v>
      </c>
      <c r="D66" s="64" t="s">
        <v>107</v>
      </c>
      <c r="E66" s="64" t="s">
        <v>144</v>
      </c>
      <c r="F66" s="64" t="s">
        <v>145</v>
      </c>
      <c r="G66" s="72">
        <v>6</v>
      </c>
      <c r="H66" s="72">
        <f t="shared" si="75"/>
        <v>6</v>
      </c>
      <c r="I66" s="73">
        <f t="shared" si="85"/>
        <v>92.7</v>
      </c>
      <c r="J66" s="74">
        <v>2</v>
      </c>
      <c r="K66" s="74">
        <v>2</v>
      </c>
      <c r="L66" s="74">
        <f t="shared" si="76"/>
        <v>0</v>
      </c>
      <c r="M66" s="73">
        <v>92.7</v>
      </c>
      <c r="N66" s="73">
        <v>92.7</v>
      </c>
      <c r="O66" s="73">
        <f t="shared" si="77"/>
        <v>0</v>
      </c>
      <c r="P66" s="73">
        <f t="shared" si="78"/>
        <v>3335346</v>
      </c>
      <c r="Q66" s="117">
        <f t="shared" si="69"/>
        <v>1767764.59</v>
      </c>
      <c r="R66" s="117">
        <f t="shared" si="70"/>
        <v>1218817.54</v>
      </c>
      <c r="S66" s="73">
        <f t="shared" si="79"/>
        <v>348763.87</v>
      </c>
      <c r="T66" s="72">
        <v>0</v>
      </c>
      <c r="U66" s="50">
        <f t="shared" ref="U66" si="89">SUM(U68:U80)</f>
        <v>0</v>
      </c>
      <c r="V66" s="58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/>
      <c r="AK66" s="80"/>
      <c r="AL66" s="80"/>
      <c r="AM66" s="80"/>
      <c r="AN66" s="80"/>
      <c r="AO66" s="80"/>
      <c r="AP66" s="80"/>
      <c r="AQ66" s="80"/>
      <c r="AR66" s="80"/>
      <c r="AS66" s="80"/>
      <c r="AT66" s="80"/>
      <c r="AU66" s="80"/>
      <c r="AV66" s="80"/>
      <c r="AW66" s="80"/>
      <c r="AX66" s="80"/>
      <c r="AY66" s="80"/>
      <c r="AZ66" s="80"/>
      <c r="BA66" s="80"/>
      <c r="BB66" s="80"/>
      <c r="BC66" s="80"/>
      <c r="BD66" s="80"/>
      <c r="BE66" s="80"/>
      <c r="BF66" s="80"/>
      <c r="BG66" s="80"/>
    </row>
    <row r="67" spans="1:59" ht="27" customHeight="1" x14ac:dyDescent="0.25">
      <c r="A67" s="85">
        <v>15</v>
      </c>
      <c r="B67" s="87" t="s">
        <v>77</v>
      </c>
      <c r="C67" s="70" t="s">
        <v>48</v>
      </c>
      <c r="D67" s="71">
        <v>38039</v>
      </c>
      <c r="E67" s="64" t="s">
        <v>144</v>
      </c>
      <c r="F67" s="64" t="s">
        <v>145</v>
      </c>
      <c r="G67" s="72">
        <v>15</v>
      </c>
      <c r="H67" s="72">
        <f>G67</f>
        <v>15</v>
      </c>
      <c r="I67" s="73">
        <f>M67</f>
        <v>127.2</v>
      </c>
      <c r="J67" s="79">
        <v>4</v>
      </c>
      <c r="K67" s="79">
        <v>0</v>
      </c>
      <c r="L67" s="74">
        <f>J67-K67</f>
        <v>4</v>
      </c>
      <c r="M67" s="73">
        <v>127.2</v>
      </c>
      <c r="N67" s="73">
        <v>0</v>
      </c>
      <c r="O67" s="73">
        <f>M67-N67</f>
        <v>127.2</v>
      </c>
      <c r="P67" s="73">
        <f t="shared" si="78"/>
        <v>4576656</v>
      </c>
      <c r="Q67" s="117">
        <f>P67*53.0009358%-0.04</f>
        <v>2425670.4700000002</v>
      </c>
      <c r="R67" s="117">
        <f>P67*36.542462%+0.01</f>
        <v>1672422.79</v>
      </c>
      <c r="S67" s="73">
        <f t="shared" si="79"/>
        <v>478562.74</v>
      </c>
      <c r="T67" s="50">
        <v>0</v>
      </c>
      <c r="U67" s="50">
        <f t="shared" ref="U67" si="90">SUM(U72:U81)</f>
        <v>0</v>
      </c>
      <c r="V67" s="58"/>
    </row>
    <row r="68" spans="1:59" ht="24.95" customHeight="1" x14ac:dyDescent="0.25">
      <c r="A68" s="149" t="s">
        <v>120</v>
      </c>
      <c r="B68" s="150"/>
      <c r="C68" s="107"/>
      <c r="D68" s="130">
        <f>D69</f>
        <v>2</v>
      </c>
      <c r="E68" s="131"/>
      <c r="F68" s="131"/>
      <c r="G68" s="57">
        <f>G69</f>
        <v>35</v>
      </c>
      <c r="H68" s="57">
        <f t="shared" ref="H68:U68" si="91">H69</f>
        <v>35</v>
      </c>
      <c r="I68" s="132">
        <f t="shared" si="91"/>
        <v>522.9</v>
      </c>
      <c r="J68" s="57">
        <f t="shared" si="91"/>
        <v>12</v>
      </c>
      <c r="K68" s="57">
        <f t="shared" si="91"/>
        <v>7</v>
      </c>
      <c r="L68" s="57">
        <f t="shared" si="91"/>
        <v>5</v>
      </c>
      <c r="M68" s="132">
        <f t="shared" si="91"/>
        <v>522.9</v>
      </c>
      <c r="N68" s="132">
        <f t="shared" si="91"/>
        <v>256.39999999999998</v>
      </c>
      <c r="O68" s="132">
        <f t="shared" si="91"/>
        <v>266.5</v>
      </c>
      <c r="P68" s="133">
        <f t="shared" si="91"/>
        <v>18813942</v>
      </c>
      <c r="Q68" s="57">
        <f t="shared" si="91"/>
        <v>0</v>
      </c>
      <c r="R68" s="133">
        <f t="shared" si="91"/>
        <v>13169700</v>
      </c>
      <c r="S68" s="133">
        <f t="shared" si="91"/>
        <v>5644242</v>
      </c>
      <c r="T68" s="57">
        <f t="shared" si="91"/>
        <v>0</v>
      </c>
      <c r="U68" s="57">
        <f t="shared" si="91"/>
        <v>0</v>
      </c>
      <c r="V68" s="58"/>
    </row>
    <row r="69" spans="1:59" ht="24.95" customHeight="1" x14ac:dyDescent="0.25">
      <c r="A69" s="149" t="s">
        <v>102</v>
      </c>
      <c r="B69" s="150"/>
      <c r="C69" s="123"/>
      <c r="D69" s="126">
        <f>A71</f>
        <v>2</v>
      </c>
      <c r="E69" s="84"/>
      <c r="F69" s="84"/>
      <c r="G69" s="50">
        <f>G70+G71</f>
        <v>35</v>
      </c>
      <c r="H69" s="50">
        <f t="shared" ref="H69:U69" si="92">H70+H71</f>
        <v>35</v>
      </c>
      <c r="I69" s="124">
        <f t="shared" si="92"/>
        <v>522.9</v>
      </c>
      <c r="J69" s="50">
        <f t="shared" si="92"/>
        <v>12</v>
      </c>
      <c r="K69" s="50">
        <f t="shared" si="92"/>
        <v>7</v>
      </c>
      <c r="L69" s="50">
        <f t="shared" si="92"/>
        <v>5</v>
      </c>
      <c r="M69" s="124">
        <f t="shared" si="92"/>
        <v>522.9</v>
      </c>
      <c r="N69" s="124">
        <f t="shared" si="92"/>
        <v>256.39999999999998</v>
      </c>
      <c r="O69" s="124">
        <f t="shared" si="92"/>
        <v>266.5</v>
      </c>
      <c r="P69" s="125">
        <f t="shared" si="92"/>
        <v>18813942</v>
      </c>
      <c r="Q69" s="50">
        <f t="shared" si="92"/>
        <v>0</v>
      </c>
      <c r="R69" s="125">
        <f t="shared" si="92"/>
        <v>13169700</v>
      </c>
      <c r="S69" s="125">
        <f t="shared" si="92"/>
        <v>5644242</v>
      </c>
      <c r="T69" s="50">
        <f t="shared" si="92"/>
        <v>0</v>
      </c>
      <c r="U69" s="50">
        <f t="shared" si="92"/>
        <v>0</v>
      </c>
      <c r="V69" s="58"/>
    </row>
    <row r="70" spans="1:59" ht="24.95" customHeight="1" x14ac:dyDescent="0.25">
      <c r="A70" s="85">
        <v>1</v>
      </c>
      <c r="B70" s="118" t="s">
        <v>163</v>
      </c>
      <c r="C70" s="70" t="s">
        <v>48</v>
      </c>
      <c r="D70" s="83" t="s">
        <v>165</v>
      </c>
      <c r="E70" s="64" t="s">
        <v>144</v>
      </c>
      <c r="F70" s="64" t="s">
        <v>145</v>
      </c>
      <c r="G70" s="50">
        <v>10</v>
      </c>
      <c r="H70" s="50">
        <f>G70</f>
        <v>10</v>
      </c>
      <c r="I70" s="124">
        <f>M70</f>
        <v>106.1</v>
      </c>
      <c r="J70" s="50">
        <f>K70+L70</f>
        <v>4</v>
      </c>
      <c r="K70" s="50">
        <v>4</v>
      </c>
      <c r="L70" s="50">
        <v>0</v>
      </c>
      <c r="M70" s="124">
        <f>N70+O70</f>
        <v>106.1</v>
      </c>
      <c r="N70" s="124">
        <v>106.1</v>
      </c>
      <c r="O70" s="50">
        <v>0</v>
      </c>
      <c r="P70" s="125">
        <f>M70*35980</f>
        <v>3817478</v>
      </c>
      <c r="Q70" s="50">
        <v>0</v>
      </c>
      <c r="R70" s="119">
        <f>P70*69.9996843%</f>
        <v>2672222.5499999998</v>
      </c>
      <c r="S70" s="119">
        <f>P70-Q70-R70</f>
        <v>1145255.45</v>
      </c>
      <c r="T70" s="50">
        <f t="shared" ref="T70:T71" si="93">T71+T72</f>
        <v>0</v>
      </c>
      <c r="U70" s="50">
        <f t="shared" ref="U70:U71" si="94">U71+U72</f>
        <v>0</v>
      </c>
      <c r="V70" s="58"/>
    </row>
    <row r="71" spans="1:59" ht="31.5" customHeight="1" x14ac:dyDescent="0.25">
      <c r="A71" s="85">
        <v>2</v>
      </c>
      <c r="B71" s="118" t="s">
        <v>164</v>
      </c>
      <c r="C71" s="70" t="s">
        <v>48</v>
      </c>
      <c r="D71" s="83" t="s">
        <v>166</v>
      </c>
      <c r="E71" s="64" t="s">
        <v>144</v>
      </c>
      <c r="F71" s="64" t="s">
        <v>145</v>
      </c>
      <c r="G71" s="50">
        <v>25</v>
      </c>
      <c r="H71" s="50">
        <f>G71</f>
        <v>25</v>
      </c>
      <c r="I71" s="124">
        <f>M71</f>
        <v>416.8</v>
      </c>
      <c r="J71" s="50">
        <f>K71+L71</f>
        <v>8</v>
      </c>
      <c r="K71" s="50">
        <v>3</v>
      </c>
      <c r="L71" s="50">
        <v>5</v>
      </c>
      <c r="M71" s="124">
        <f>N71+O71</f>
        <v>416.8</v>
      </c>
      <c r="N71" s="124">
        <v>150.30000000000001</v>
      </c>
      <c r="O71" s="124">
        <v>266.5</v>
      </c>
      <c r="P71" s="125">
        <f>M71*35980</f>
        <v>14996464</v>
      </c>
      <c r="Q71" s="50">
        <v>0</v>
      </c>
      <c r="R71" s="119">
        <f>P71*69.9996843%-0.01</f>
        <v>10497477.449999999</v>
      </c>
      <c r="S71" s="119">
        <f>P71-Q71-R71</f>
        <v>4498986.55</v>
      </c>
      <c r="T71" s="50">
        <f t="shared" si="93"/>
        <v>0</v>
      </c>
      <c r="U71" s="50">
        <f t="shared" si="94"/>
        <v>0</v>
      </c>
      <c r="V71" s="58"/>
    </row>
    <row r="72" spans="1:59" ht="30.75" customHeight="1" x14ac:dyDescent="0.25">
      <c r="A72" s="149" t="s">
        <v>79</v>
      </c>
      <c r="B72" s="151"/>
      <c r="C72" s="82"/>
      <c r="D72" s="134" t="s">
        <v>153</v>
      </c>
      <c r="E72" s="131"/>
      <c r="F72" s="131"/>
      <c r="G72" s="57">
        <f>SUM(G75:G90)</f>
        <v>82</v>
      </c>
      <c r="H72" s="57">
        <f t="shared" ref="H72:T72" si="95">SUM(H75:H90)</f>
        <v>82</v>
      </c>
      <c r="I72" s="56">
        <f t="shared" si="95"/>
        <v>1376.4</v>
      </c>
      <c r="J72" s="57">
        <f t="shared" si="95"/>
        <v>39</v>
      </c>
      <c r="K72" s="57">
        <f t="shared" si="95"/>
        <v>27</v>
      </c>
      <c r="L72" s="57">
        <f t="shared" si="95"/>
        <v>12</v>
      </c>
      <c r="M72" s="56">
        <f t="shared" si="95"/>
        <v>1316</v>
      </c>
      <c r="N72" s="56">
        <f t="shared" si="95"/>
        <v>970.5</v>
      </c>
      <c r="O72" s="56">
        <f t="shared" si="95"/>
        <v>345.5</v>
      </c>
      <c r="P72" s="55">
        <f t="shared" si="95"/>
        <v>47349680</v>
      </c>
      <c r="Q72" s="55">
        <f t="shared" si="95"/>
        <v>32209000</v>
      </c>
      <c r="R72" s="133">
        <f t="shared" si="95"/>
        <v>4088000</v>
      </c>
      <c r="S72" s="133">
        <f t="shared" si="95"/>
        <v>11052680</v>
      </c>
      <c r="T72" s="57">
        <f t="shared" si="95"/>
        <v>0</v>
      </c>
      <c r="U72" s="57">
        <f t="shared" ref="U72" si="96">SUM(U74:U83)</f>
        <v>0</v>
      </c>
      <c r="V72" s="58"/>
    </row>
    <row r="73" spans="1:59" ht="30.75" customHeight="1" x14ac:dyDescent="0.25">
      <c r="A73" s="152" t="s">
        <v>121</v>
      </c>
      <c r="B73" s="152"/>
      <c r="C73" s="107"/>
      <c r="D73" s="83" t="s">
        <v>153</v>
      </c>
      <c r="E73" s="84"/>
      <c r="F73" s="84"/>
      <c r="G73" s="50">
        <f>G72</f>
        <v>82</v>
      </c>
      <c r="H73" s="50">
        <f t="shared" ref="H73:T73" si="97">H72</f>
        <v>82</v>
      </c>
      <c r="I73" s="51">
        <f t="shared" si="97"/>
        <v>1376.4</v>
      </c>
      <c r="J73" s="50">
        <f t="shared" si="97"/>
        <v>39</v>
      </c>
      <c r="K73" s="50">
        <f t="shared" si="97"/>
        <v>27</v>
      </c>
      <c r="L73" s="50">
        <f t="shared" si="97"/>
        <v>12</v>
      </c>
      <c r="M73" s="51">
        <f t="shared" si="97"/>
        <v>1316</v>
      </c>
      <c r="N73" s="51">
        <f t="shared" si="97"/>
        <v>970.5</v>
      </c>
      <c r="O73" s="51">
        <f t="shared" si="97"/>
        <v>345.5</v>
      </c>
      <c r="P73" s="107">
        <f t="shared" si="97"/>
        <v>47349680</v>
      </c>
      <c r="Q73" s="107">
        <f t="shared" si="97"/>
        <v>32209000</v>
      </c>
      <c r="R73" s="107">
        <f t="shared" si="97"/>
        <v>4088000</v>
      </c>
      <c r="S73" s="107">
        <f t="shared" si="97"/>
        <v>11052680</v>
      </c>
      <c r="T73" s="50">
        <f t="shared" si="97"/>
        <v>0</v>
      </c>
      <c r="U73" s="50">
        <f t="shared" ref="U73" si="98">SUM(U75:U84)</f>
        <v>0</v>
      </c>
      <c r="V73" s="58"/>
    </row>
    <row r="74" spans="1:59" ht="23.25" customHeight="1" x14ac:dyDescent="0.25">
      <c r="A74" s="149" t="s">
        <v>102</v>
      </c>
      <c r="B74" s="150"/>
      <c r="C74" s="107"/>
      <c r="D74" s="83" t="s">
        <v>153</v>
      </c>
      <c r="E74" s="84"/>
      <c r="F74" s="84"/>
      <c r="G74" s="50">
        <f t="shared" ref="G74:T74" si="99">G72</f>
        <v>82</v>
      </c>
      <c r="H74" s="50">
        <f t="shared" si="99"/>
        <v>82</v>
      </c>
      <c r="I74" s="51">
        <f t="shared" si="99"/>
        <v>1376.4</v>
      </c>
      <c r="J74" s="50">
        <f t="shared" si="99"/>
        <v>39</v>
      </c>
      <c r="K74" s="50">
        <f t="shared" si="99"/>
        <v>27</v>
      </c>
      <c r="L74" s="50">
        <f t="shared" si="99"/>
        <v>12</v>
      </c>
      <c r="M74" s="51">
        <f t="shared" si="99"/>
        <v>1316</v>
      </c>
      <c r="N74" s="51">
        <f t="shared" si="99"/>
        <v>970.5</v>
      </c>
      <c r="O74" s="51">
        <f t="shared" si="99"/>
        <v>345.5</v>
      </c>
      <c r="P74" s="107">
        <f t="shared" si="99"/>
        <v>47349680</v>
      </c>
      <c r="Q74" s="107">
        <f t="shared" si="99"/>
        <v>32209000</v>
      </c>
      <c r="R74" s="107">
        <f t="shared" si="99"/>
        <v>4088000</v>
      </c>
      <c r="S74" s="107">
        <f t="shared" si="99"/>
        <v>11052680</v>
      </c>
      <c r="T74" s="50">
        <f t="shared" si="99"/>
        <v>0</v>
      </c>
      <c r="U74" s="50">
        <f t="shared" ref="U74" si="100">SUM(U76:U85)</f>
        <v>0</v>
      </c>
      <c r="V74" s="58"/>
    </row>
    <row r="75" spans="1:59" ht="30" customHeight="1" x14ac:dyDescent="0.25">
      <c r="A75" s="68">
        <v>1</v>
      </c>
      <c r="B75" s="75" t="s">
        <v>68</v>
      </c>
      <c r="C75" s="70" t="s">
        <v>48</v>
      </c>
      <c r="D75" s="64" t="s">
        <v>107</v>
      </c>
      <c r="E75" s="64" t="s">
        <v>146</v>
      </c>
      <c r="F75" s="64" t="s">
        <v>147</v>
      </c>
      <c r="G75" s="72">
        <f>3</f>
        <v>3</v>
      </c>
      <c r="H75" s="72">
        <f t="shared" ref="H75:H84" si="101">G75</f>
        <v>3</v>
      </c>
      <c r="I75" s="73">
        <f t="shared" ref="I75:I80" si="102">M75</f>
        <v>88.2</v>
      </c>
      <c r="J75" s="74">
        <v>3</v>
      </c>
      <c r="K75" s="74">
        <v>2</v>
      </c>
      <c r="L75" s="74">
        <f t="shared" ref="L75:L81" si="103">J75-K75</f>
        <v>1</v>
      </c>
      <c r="M75" s="73">
        <v>88.2</v>
      </c>
      <c r="N75" s="73">
        <v>66.400000000000006</v>
      </c>
      <c r="O75" s="73">
        <v>21.8</v>
      </c>
      <c r="P75" s="73">
        <f t="shared" ref="P75:P84" si="104">M75*35980</f>
        <v>3173436</v>
      </c>
      <c r="Q75" s="107">
        <f>P75*68.023691%</f>
        <v>2158688.2999999998</v>
      </c>
      <c r="R75" s="107">
        <f>P75*8.633638%</f>
        <v>273982.98</v>
      </c>
      <c r="S75" s="73">
        <f t="shared" ref="S75:S84" si="105">P75-Q75-R75</f>
        <v>740764.72</v>
      </c>
      <c r="T75" s="50">
        <v>0</v>
      </c>
      <c r="U75" s="50">
        <f t="shared" ref="U75" si="106">SUM(U77:U86)</f>
        <v>0</v>
      </c>
      <c r="V75" s="58"/>
    </row>
    <row r="76" spans="1:59" s="81" customFormat="1" ht="27.75" customHeight="1" x14ac:dyDescent="0.25">
      <c r="A76" s="68">
        <v>2</v>
      </c>
      <c r="B76" s="75" t="s">
        <v>95</v>
      </c>
      <c r="C76" s="70" t="s">
        <v>48</v>
      </c>
      <c r="D76" s="64" t="s">
        <v>107</v>
      </c>
      <c r="E76" s="64" t="s">
        <v>146</v>
      </c>
      <c r="F76" s="64" t="s">
        <v>147</v>
      </c>
      <c r="G76" s="72">
        <v>4</v>
      </c>
      <c r="H76" s="72">
        <f t="shared" si="101"/>
        <v>4</v>
      </c>
      <c r="I76" s="73">
        <f t="shared" si="102"/>
        <v>91.3</v>
      </c>
      <c r="J76" s="74">
        <v>3</v>
      </c>
      <c r="K76" s="74">
        <v>2</v>
      </c>
      <c r="L76" s="74">
        <f t="shared" si="103"/>
        <v>1</v>
      </c>
      <c r="M76" s="73">
        <v>91.3</v>
      </c>
      <c r="N76" s="73">
        <v>59.4</v>
      </c>
      <c r="O76" s="73">
        <f t="shared" ref="O76:O84" si="107">M76-N76</f>
        <v>31.9</v>
      </c>
      <c r="P76" s="73">
        <f t="shared" si="104"/>
        <v>3284974</v>
      </c>
      <c r="Q76" s="107">
        <f t="shared" ref="Q76:Q89" si="108">P76*68.023691%</f>
        <v>2234560.56</v>
      </c>
      <c r="R76" s="107">
        <f t="shared" ref="R76:R89" si="109">P76*8.633638%</f>
        <v>283612.76</v>
      </c>
      <c r="S76" s="73">
        <f t="shared" si="105"/>
        <v>766800.68</v>
      </c>
      <c r="T76" s="72">
        <v>0</v>
      </c>
      <c r="U76" s="50">
        <f t="shared" ref="U76" si="110">SUM(U78:U87)</f>
        <v>0</v>
      </c>
      <c r="V76" s="58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80"/>
      <c r="AQ76" s="80"/>
      <c r="AR76" s="80"/>
      <c r="AS76" s="80"/>
      <c r="AT76" s="80"/>
      <c r="AU76" s="80"/>
      <c r="AV76" s="80"/>
      <c r="AW76" s="80"/>
      <c r="AX76" s="80"/>
      <c r="AY76" s="80"/>
      <c r="AZ76" s="80"/>
      <c r="BA76" s="80"/>
      <c r="BB76" s="80"/>
      <c r="BC76" s="80"/>
      <c r="BD76" s="80"/>
      <c r="BE76" s="80"/>
      <c r="BF76" s="80"/>
      <c r="BG76" s="80"/>
    </row>
    <row r="77" spans="1:59" s="81" customFormat="1" ht="27" customHeight="1" x14ac:dyDescent="0.25">
      <c r="A77" s="68">
        <v>3</v>
      </c>
      <c r="B77" s="75" t="s">
        <v>70</v>
      </c>
      <c r="C77" s="70" t="s">
        <v>48</v>
      </c>
      <c r="D77" s="64" t="s">
        <v>107</v>
      </c>
      <c r="E77" s="64" t="s">
        <v>146</v>
      </c>
      <c r="F77" s="64" t="s">
        <v>147</v>
      </c>
      <c r="G77" s="72">
        <v>6</v>
      </c>
      <c r="H77" s="72">
        <f t="shared" si="101"/>
        <v>6</v>
      </c>
      <c r="I77" s="73">
        <f t="shared" si="102"/>
        <v>91.7</v>
      </c>
      <c r="J77" s="74">
        <v>2</v>
      </c>
      <c r="K77" s="74">
        <v>1</v>
      </c>
      <c r="L77" s="74">
        <f t="shared" si="103"/>
        <v>1</v>
      </c>
      <c r="M77" s="73">
        <f>45.5+46.2</f>
        <v>91.7</v>
      </c>
      <c r="N77" s="73">
        <v>46.2</v>
      </c>
      <c r="O77" s="73">
        <f t="shared" si="107"/>
        <v>45.5</v>
      </c>
      <c r="P77" s="73">
        <f t="shared" si="104"/>
        <v>3299366</v>
      </c>
      <c r="Q77" s="107">
        <f t="shared" si="108"/>
        <v>2244350.5299999998</v>
      </c>
      <c r="R77" s="107">
        <f t="shared" si="109"/>
        <v>284855.32</v>
      </c>
      <c r="S77" s="73">
        <f t="shared" si="105"/>
        <v>770160.15</v>
      </c>
      <c r="T77" s="72">
        <v>0</v>
      </c>
      <c r="U77" s="50">
        <f t="shared" ref="U77" si="111">SUM(U79:U88)</f>
        <v>0</v>
      </c>
      <c r="V77" s="58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</row>
    <row r="78" spans="1:59" s="81" customFormat="1" ht="28.5" customHeight="1" x14ac:dyDescent="0.25">
      <c r="A78" s="68">
        <v>4</v>
      </c>
      <c r="B78" s="75" t="s">
        <v>96</v>
      </c>
      <c r="C78" s="70" t="s">
        <v>48</v>
      </c>
      <c r="D78" s="64" t="s">
        <v>107</v>
      </c>
      <c r="E78" s="64" t="s">
        <v>146</v>
      </c>
      <c r="F78" s="64" t="s">
        <v>147</v>
      </c>
      <c r="G78" s="72">
        <f>1+1</f>
        <v>2</v>
      </c>
      <c r="H78" s="72">
        <f t="shared" si="101"/>
        <v>2</v>
      </c>
      <c r="I78" s="73">
        <f t="shared" si="102"/>
        <v>91.1</v>
      </c>
      <c r="J78" s="74">
        <v>2</v>
      </c>
      <c r="K78" s="74">
        <v>2</v>
      </c>
      <c r="L78" s="74">
        <f t="shared" si="103"/>
        <v>0</v>
      </c>
      <c r="M78" s="73">
        <f>46.1+45</f>
        <v>91.1</v>
      </c>
      <c r="N78" s="73">
        <v>91.1</v>
      </c>
      <c r="O78" s="73">
        <f t="shared" si="107"/>
        <v>0</v>
      </c>
      <c r="P78" s="73">
        <f t="shared" si="104"/>
        <v>3277778</v>
      </c>
      <c r="Q78" s="107">
        <f t="shared" si="108"/>
        <v>2229665.58</v>
      </c>
      <c r="R78" s="107">
        <f t="shared" si="109"/>
        <v>282991.49</v>
      </c>
      <c r="S78" s="73">
        <f t="shared" si="105"/>
        <v>765120.93</v>
      </c>
      <c r="T78" s="72">
        <v>0</v>
      </c>
      <c r="U78" s="50">
        <f t="shared" ref="U78" si="112">SUM(U80:U89)</f>
        <v>0</v>
      </c>
      <c r="V78" s="58"/>
      <c r="W78" s="80"/>
      <c r="X78" s="80"/>
      <c r="Y78" s="80"/>
      <c r="Z78" s="80"/>
      <c r="AA78" s="80"/>
      <c r="AB78" s="80"/>
      <c r="AC78" s="80"/>
      <c r="AD78" s="80"/>
      <c r="AE78" s="80"/>
      <c r="AF78" s="80"/>
      <c r="AG78" s="80"/>
      <c r="AH78" s="80"/>
      <c r="AI78" s="80"/>
      <c r="AJ78" s="80"/>
      <c r="AK78" s="80"/>
      <c r="AL78" s="80"/>
      <c r="AM78" s="80"/>
      <c r="AN78" s="80"/>
      <c r="AO78" s="80"/>
      <c r="AP78" s="80"/>
      <c r="AQ78" s="80"/>
      <c r="AR78" s="80"/>
      <c r="AS78" s="80"/>
      <c r="AT78" s="80"/>
      <c r="AU78" s="80"/>
      <c r="AV78" s="80"/>
      <c r="AW78" s="80"/>
      <c r="AX78" s="80"/>
      <c r="AY78" s="80"/>
      <c r="AZ78" s="80"/>
      <c r="BA78" s="80"/>
      <c r="BB78" s="80"/>
      <c r="BC78" s="80"/>
      <c r="BD78" s="80"/>
      <c r="BE78" s="80"/>
      <c r="BF78" s="80"/>
      <c r="BG78" s="80"/>
    </row>
    <row r="79" spans="1:59" s="81" customFormat="1" ht="28.5" customHeight="1" x14ac:dyDescent="0.25">
      <c r="A79" s="68">
        <v>5</v>
      </c>
      <c r="B79" s="75" t="s">
        <v>97</v>
      </c>
      <c r="C79" s="70" t="s">
        <v>48</v>
      </c>
      <c r="D79" s="64" t="s">
        <v>107</v>
      </c>
      <c r="E79" s="64" t="s">
        <v>146</v>
      </c>
      <c r="F79" s="64" t="s">
        <v>147</v>
      </c>
      <c r="G79" s="72">
        <v>8</v>
      </c>
      <c r="H79" s="72">
        <f t="shared" si="101"/>
        <v>8</v>
      </c>
      <c r="I79" s="73">
        <f t="shared" si="102"/>
        <v>93.8</v>
      </c>
      <c r="J79" s="74">
        <v>2</v>
      </c>
      <c r="K79" s="74">
        <v>1</v>
      </c>
      <c r="L79" s="74">
        <f t="shared" si="103"/>
        <v>1</v>
      </c>
      <c r="M79" s="73">
        <v>93.8</v>
      </c>
      <c r="N79" s="73">
        <v>47.2</v>
      </c>
      <c r="O79" s="73">
        <f t="shared" si="107"/>
        <v>46.6</v>
      </c>
      <c r="P79" s="73">
        <f t="shared" si="104"/>
        <v>3374924</v>
      </c>
      <c r="Q79" s="107">
        <f t="shared" si="108"/>
        <v>2295747.87</v>
      </c>
      <c r="R79" s="107">
        <f t="shared" si="109"/>
        <v>291378.71999999997</v>
      </c>
      <c r="S79" s="73">
        <f t="shared" si="105"/>
        <v>787797.41</v>
      </c>
      <c r="T79" s="72">
        <v>0</v>
      </c>
      <c r="U79" s="50">
        <f t="shared" ref="U79" si="113">SUM(U81:U90)</f>
        <v>0</v>
      </c>
      <c r="V79" s="58"/>
      <c r="W79" s="80"/>
      <c r="X79" s="80"/>
      <c r="Y79" s="80"/>
      <c r="Z79" s="80"/>
      <c r="AA79" s="80"/>
      <c r="AB79" s="80"/>
      <c r="AC79" s="80"/>
      <c r="AD79" s="80"/>
      <c r="AE79" s="80"/>
      <c r="AF79" s="80"/>
      <c r="AG79" s="80"/>
      <c r="AH79" s="80"/>
      <c r="AI79" s="80"/>
      <c r="AJ79" s="80"/>
      <c r="AK79" s="80"/>
      <c r="AL79" s="80"/>
      <c r="AM79" s="80"/>
      <c r="AN79" s="80"/>
      <c r="AO79" s="80"/>
      <c r="AP79" s="80"/>
      <c r="AQ79" s="80"/>
      <c r="AR79" s="80"/>
      <c r="AS79" s="80"/>
      <c r="AT79" s="80"/>
      <c r="AU79" s="80"/>
      <c r="AV79" s="80"/>
      <c r="AW79" s="80"/>
      <c r="AX79" s="80"/>
      <c r="AY79" s="80"/>
      <c r="AZ79" s="80"/>
      <c r="BA79" s="80"/>
      <c r="BB79" s="80"/>
      <c r="BC79" s="80"/>
      <c r="BD79" s="80"/>
      <c r="BE79" s="80"/>
      <c r="BF79" s="80"/>
      <c r="BG79" s="80"/>
    </row>
    <row r="80" spans="1:59" s="81" customFormat="1" ht="31.5" customHeight="1" x14ac:dyDescent="0.25">
      <c r="A80" s="68">
        <v>6</v>
      </c>
      <c r="B80" s="75" t="s">
        <v>73</v>
      </c>
      <c r="C80" s="70" t="s">
        <v>48</v>
      </c>
      <c r="D80" s="64" t="s">
        <v>107</v>
      </c>
      <c r="E80" s="64" t="s">
        <v>146</v>
      </c>
      <c r="F80" s="64" t="s">
        <v>147</v>
      </c>
      <c r="G80" s="72">
        <f>4+4</f>
        <v>8</v>
      </c>
      <c r="H80" s="72">
        <f t="shared" si="101"/>
        <v>8</v>
      </c>
      <c r="I80" s="73">
        <f t="shared" si="102"/>
        <v>94.4</v>
      </c>
      <c r="J80" s="74">
        <v>2</v>
      </c>
      <c r="K80" s="74">
        <v>1</v>
      </c>
      <c r="L80" s="74">
        <f t="shared" si="103"/>
        <v>1</v>
      </c>
      <c r="M80" s="73">
        <v>94.4</v>
      </c>
      <c r="N80" s="73">
        <v>48.3</v>
      </c>
      <c r="O80" s="73">
        <f t="shared" si="107"/>
        <v>46.1</v>
      </c>
      <c r="P80" s="73">
        <f t="shared" si="104"/>
        <v>3396512</v>
      </c>
      <c r="Q80" s="107">
        <f t="shared" si="108"/>
        <v>2310432.83</v>
      </c>
      <c r="R80" s="107">
        <f t="shared" si="109"/>
        <v>293242.55</v>
      </c>
      <c r="S80" s="73">
        <f t="shared" si="105"/>
        <v>792836.62</v>
      </c>
      <c r="T80" s="72">
        <v>0</v>
      </c>
      <c r="U80" s="50">
        <f t="shared" ref="U80" si="114">SUM(U82:U91)</f>
        <v>0</v>
      </c>
      <c r="V80" s="58"/>
      <c r="W80" s="80"/>
      <c r="X80" s="80"/>
      <c r="Y80" s="80"/>
      <c r="Z80" s="80"/>
      <c r="AA80" s="80"/>
      <c r="AB80" s="80"/>
      <c r="AC80" s="80"/>
      <c r="AD80" s="80"/>
      <c r="AE80" s="80"/>
      <c r="AF80" s="80"/>
      <c r="AG80" s="80"/>
      <c r="AH80" s="80"/>
      <c r="AI80" s="80"/>
      <c r="AJ80" s="80"/>
      <c r="AK80" s="80"/>
      <c r="AL80" s="80"/>
      <c r="AM80" s="80"/>
      <c r="AN80" s="80"/>
      <c r="AO80" s="80"/>
      <c r="AP80" s="80"/>
      <c r="AQ80" s="80"/>
      <c r="AR80" s="80"/>
      <c r="AS80" s="80"/>
      <c r="AT80" s="80"/>
      <c r="AU80" s="80"/>
      <c r="AV80" s="80"/>
      <c r="AW80" s="80"/>
      <c r="AX80" s="80"/>
      <c r="AY80" s="80"/>
      <c r="AZ80" s="80"/>
      <c r="BA80" s="80"/>
      <c r="BB80" s="80"/>
      <c r="BC80" s="80"/>
      <c r="BD80" s="80"/>
      <c r="BE80" s="80"/>
      <c r="BF80" s="80"/>
      <c r="BG80" s="80"/>
    </row>
    <row r="81" spans="1:59" s="81" customFormat="1" ht="28.5" customHeight="1" x14ac:dyDescent="0.25">
      <c r="A81" s="68">
        <v>7</v>
      </c>
      <c r="B81" s="75" t="s">
        <v>80</v>
      </c>
      <c r="C81" s="70" t="s">
        <v>48</v>
      </c>
      <c r="D81" s="64" t="s">
        <v>105</v>
      </c>
      <c r="E81" s="64" t="s">
        <v>146</v>
      </c>
      <c r="F81" s="64" t="s">
        <v>147</v>
      </c>
      <c r="G81" s="72">
        <v>5</v>
      </c>
      <c r="H81" s="72">
        <f t="shared" si="101"/>
        <v>5</v>
      </c>
      <c r="I81" s="73">
        <v>93.3</v>
      </c>
      <c r="J81" s="74">
        <v>2</v>
      </c>
      <c r="K81" s="74">
        <v>2</v>
      </c>
      <c r="L81" s="74">
        <f t="shared" si="103"/>
        <v>0</v>
      </c>
      <c r="M81" s="73">
        <v>93.3</v>
      </c>
      <c r="N81" s="73">
        <v>93.3</v>
      </c>
      <c r="O81" s="73">
        <f t="shared" si="107"/>
        <v>0</v>
      </c>
      <c r="P81" s="73">
        <f t="shared" si="104"/>
        <v>3356934</v>
      </c>
      <c r="Q81" s="107">
        <f t="shared" si="108"/>
        <v>2283510.41</v>
      </c>
      <c r="R81" s="107">
        <f t="shared" si="109"/>
        <v>289825.53000000003</v>
      </c>
      <c r="S81" s="73">
        <f t="shared" si="105"/>
        <v>783598.06</v>
      </c>
      <c r="T81" s="72">
        <v>0</v>
      </c>
      <c r="U81" s="50">
        <f t="shared" ref="U81" si="115">SUM(U83:U92)</f>
        <v>0</v>
      </c>
      <c r="V81" s="58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80"/>
      <c r="AQ81" s="80"/>
      <c r="AR81" s="80"/>
      <c r="AS81" s="80"/>
      <c r="AT81" s="80"/>
      <c r="AU81" s="80"/>
      <c r="AV81" s="80"/>
      <c r="AW81" s="80"/>
      <c r="AX81" s="80"/>
      <c r="AY81" s="80"/>
      <c r="AZ81" s="80"/>
      <c r="BA81" s="80"/>
      <c r="BB81" s="80"/>
      <c r="BC81" s="80"/>
      <c r="BD81" s="80"/>
      <c r="BE81" s="80"/>
      <c r="BF81" s="80"/>
      <c r="BG81" s="80"/>
    </row>
    <row r="82" spans="1:59" s="81" customFormat="1" ht="27" customHeight="1" x14ac:dyDescent="0.25">
      <c r="A82" s="68">
        <v>8</v>
      </c>
      <c r="B82" s="75" t="s">
        <v>81</v>
      </c>
      <c r="C82" s="70" t="s">
        <v>48</v>
      </c>
      <c r="D82" s="64" t="s">
        <v>105</v>
      </c>
      <c r="E82" s="64" t="s">
        <v>146</v>
      </c>
      <c r="F82" s="64" t="s">
        <v>147</v>
      </c>
      <c r="G82" s="72">
        <v>7</v>
      </c>
      <c r="H82" s="72">
        <f t="shared" si="101"/>
        <v>7</v>
      </c>
      <c r="I82" s="73">
        <f>M82</f>
        <v>92.5</v>
      </c>
      <c r="J82" s="74">
        <v>2</v>
      </c>
      <c r="K82" s="74">
        <v>1</v>
      </c>
      <c r="L82" s="74">
        <v>1</v>
      </c>
      <c r="M82" s="73">
        <v>92.5</v>
      </c>
      <c r="N82" s="73">
        <v>46.6</v>
      </c>
      <c r="O82" s="73">
        <f t="shared" si="107"/>
        <v>45.9</v>
      </c>
      <c r="P82" s="73">
        <f t="shared" si="104"/>
        <v>3328150</v>
      </c>
      <c r="Q82" s="107">
        <f t="shared" si="108"/>
        <v>2263930.4700000002</v>
      </c>
      <c r="R82" s="107">
        <f t="shared" si="109"/>
        <v>287340.42</v>
      </c>
      <c r="S82" s="73">
        <f t="shared" si="105"/>
        <v>776879.11</v>
      </c>
      <c r="T82" s="72">
        <v>0</v>
      </c>
      <c r="U82" s="50">
        <f t="shared" ref="U82" si="116">SUM(U84:U93)</f>
        <v>0</v>
      </c>
      <c r="V82" s="58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</row>
    <row r="83" spans="1:59" s="81" customFormat="1" ht="30.75" customHeight="1" x14ac:dyDescent="0.25">
      <c r="A83" s="68">
        <v>9</v>
      </c>
      <c r="B83" s="75" t="s">
        <v>82</v>
      </c>
      <c r="C83" s="70" t="s">
        <v>48</v>
      </c>
      <c r="D83" s="64" t="s">
        <v>105</v>
      </c>
      <c r="E83" s="64" t="s">
        <v>146</v>
      </c>
      <c r="F83" s="64" t="s">
        <v>147</v>
      </c>
      <c r="G83" s="72">
        <v>8</v>
      </c>
      <c r="H83" s="72">
        <f t="shared" si="101"/>
        <v>8</v>
      </c>
      <c r="I83" s="73">
        <f>M83</f>
        <v>92.2</v>
      </c>
      <c r="J83" s="74">
        <v>2</v>
      </c>
      <c r="K83" s="74">
        <v>2</v>
      </c>
      <c r="L83" s="74">
        <f>J83-K83</f>
        <v>0</v>
      </c>
      <c r="M83" s="73">
        <v>92.2</v>
      </c>
      <c r="N83" s="73">
        <v>92.2</v>
      </c>
      <c r="O83" s="73">
        <f t="shared" si="107"/>
        <v>0</v>
      </c>
      <c r="P83" s="73">
        <f t="shared" si="104"/>
        <v>3317356</v>
      </c>
      <c r="Q83" s="107">
        <f t="shared" si="108"/>
        <v>2256587.9900000002</v>
      </c>
      <c r="R83" s="107">
        <f t="shared" si="109"/>
        <v>286408.51</v>
      </c>
      <c r="S83" s="73">
        <f t="shared" si="105"/>
        <v>774359.5</v>
      </c>
      <c r="T83" s="72">
        <v>0</v>
      </c>
      <c r="U83" s="50">
        <f t="shared" ref="U83" si="117">SUM(U85:U94)</f>
        <v>0</v>
      </c>
      <c r="V83" s="58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</row>
    <row r="84" spans="1:59" s="81" customFormat="1" ht="30.75" customHeight="1" x14ac:dyDescent="0.25">
      <c r="A84" s="68">
        <v>10</v>
      </c>
      <c r="B84" s="75" t="s">
        <v>83</v>
      </c>
      <c r="C84" s="70" t="s">
        <v>48</v>
      </c>
      <c r="D84" s="64" t="s">
        <v>105</v>
      </c>
      <c r="E84" s="64" t="s">
        <v>146</v>
      </c>
      <c r="F84" s="64" t="s">
        <v>147</v>
      </c>
      <c r="G84" s="72">
        <v>5</v>
      </c>
      <c r="H84" s="72">
        <f t="shared" si="101"/>
        <v>5</v>
      </c>
      <c r="I84" s="73">
        <f>M84</f>
        <v>94</v>
      </c>
      <c r="J84" s="74">
        <v>2</v>
      </c>
      <c r="K84" s="74">
        <v>2</v>
      </c>
      <c r="L84" s="74">
        <f>J84-K84</f>
        <v>0</v>
      </c>
      <c r="M84" s="73">
        <v>94</v>
      </c>
      <c r="N84" s="73">
        <v>94</v>
      </c>
      <c r="O84" s="73">
        <f t="shared" si="107"/>
        <v>0</v>
      </c>
      <c r="P84" s="73">
        <f t="shared" si="104"/>
        <v>3382120</v>
      </c>
      <c r="Q84" s="107">
        <f t="shared" si="108"/>
        <v>2300642.86</v>
      </c>
      <c r="R84" s="107">
        <f t="shared" si="109"/>
        <v>292000</v>
      </c>
      <c r="S84" s="73">
        <f t="shared" si="105"/>
        <v>789477.14</v>
      </c>
      <c r="T84" s="72">
        <v>0</v>
      </c>
      <c r="U84" s="50">
        <f t="shared" ref="U84" si="118">SUM(U86:U95)</f>
        <v>0</v>
      </c>
      <c r="V84" s="58"/>
      <c r="W84" s="80"/>
      <c r="X84" s="80"/>
      <c r="Y84" s="80"/>
      <c r="Z84" s="80"/>
      <c r="AA84" s="80"/>
      <c r="AB84" s="80"/>
      <c r="AC84" s="80"/>
      <c r="AD84" s="80"/>
      <c r="AE84" s="80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</row>
    <row r="85" spans="1:59" ht="27.75" customHeight="1" x14ac:dyDescent="0.25">
      <c r="A85" s="68">
        <v>11</v>
      </c>
      <c r="B85" s="75" t="s">
        <v>55</v>
      </c>
      <c r="C85" s="70" t="s">
        <v>48</v>
      </c>
      <c r="D85" s="71">
        <v>38042</v>
      </c>
      <c r="E85" s="64" t="s">
        <v>146</v>
      </c>
      <c r="F85" s="64" t="s">
        <v>147</v>
      </c>
      <c r="G85" s="72">
        <v>8</v>
      </c>
      <c r="H85" s="72">
        <f t="shared" ref="H85:H90" si="119">G85</f>
        <v>8</v>
      </c>
      <c r="I85" s="73">
        <f>M85</f>
        <v>97.7</v>
      </c>
      <c r="J85" s="74">
        <v>4</v>
      </c>
      <c r="K85" s="74">
        <v>2</v>
      </c>
      <c r="L85" s="74">
        <f t="shared" ref="L85:L89" si="120">J85-K85</f>
        <v>2</v>
      </c>
      <c r="M85" s="73">
        <v>97.7</v>
      </c>
      <c r="N85" s="73">
        <f>35.3+21.9</f>
        <v>57.2</v>
      </c>
      <c r="O85" s="73">
        <f t="shared" ref="O85:O88" si="121">M85-N85</f>
        <v>40.5</v>
      </c>
      <c r="P85" s="73">
        <f t="shared" ref="P85:P90" si="122">M85*35980</f>
        <v>3515246</v>
      </c>
      <c r="Q85" s="107">
        <f t="shared" si="108"/>
        <v>2391200.08</v>
      </c>
      <c r="R85" s="107">
        <f t="shared" si="109"/>
        <v>303493.61</v>
      </c>
      <c r="S85" s="73">
        <f t="shared" ref="S85:S90" si="123">P85-Q85-R85</f>
        <v>820552.31</v>
      </c>
      <c r="T85" s="50">
        <v>0</v>
      </c>
      <c r="U85" s="50">
        <f t="shared" ref="U85" si="124">SUM(U87:U96)</f>
        <v>0</v>
      </c>
      <c r="V85" s="58"/>
    </row>
    <row r="86" spans="1:59" ht="26.25" customHeight="1" x14ac:dyDescent="0.25">
      <c r="A86" s="68">
        <v>12</v>
      </c>
      <c r="B86" s="75" t="s">
        <v>56</v>
      </c>
      <c r="C86" s="70" t="s">
        <v>48</v>
      </c>
      <c r="D86" s="71">
        <v>38042</v>
      </c>
      <c r="E86" s="64" t="s">
        <v>146</v>
      </c>
      <c r="F86" s="64" t="s">
        <v>147</v>
      </c>
      <c r="G86" s="72">
        <v>4</v>
      </c>
      <c r="H86" s="72">
        <f t="shared" si="119"/>
        <v>4</v>
      </c>
      <c r="I86" s="73">
        <v>82.8</v>
      </c>
      <c r="J86" s="74">
        <v>3</v>
      </c>
      <c r="K86" s="74">
        <v>2</v>
      </c>
      <c r="L86" s="74">
        <f t="shared" si="120"/>
        <v>1</v>
      </c>
      <c r="M86" s="73">
        <v>55.2</v>
      </c>
      <c r="N86" s="73">
        <v>55.2</v>
      </c>
      <c r="O86" s="73">
        <v>0</v>
      </c>
      <c r="P86" s="73">
        <f t="shared" si="122"/>
        <v>1986096</v>
      </c>
      <c r="Q86" s="107">
        <f t="shared" si="108"/>
        <v>1351015.81</v>
      </c>
      <c r="R86" s="107">
        <f t="shared" si="109"/>
        <v>171472.34</v>
      </c>
      <c r="S86" s="73">
        <f t="shared" si="123"/>
        <v>463607.85</v>
      </c>
      <c r="T86" s="50">
        <v>0</v>
      </c>
      <c r="U86" s="50">
        <f t="shared" ref="U86" si="125">SUM(U88:U97)</f>
        <v>0</v>
      </c>
      <c r="V86" s="58"/>
    </row>
    <row r="87" spans="1:59" ht="28.5" customHeight="1" x14ac:dyDescent="0.25">
      <c r="A87" s="68">
        <v>13</v>
      </c>
      <c r="B87" s="75" t="s">
        <v>57</v>
      </c>
      <c r="C87" s="70" t="s">
        <v>48</v>
      </c>
      <c r="D87" s="71">
        <v>38042</v>
      </c>
      <c r="E87" s="64" t="s">
        <v>146</v>
      </c>
      <c r="F87" s="64" t="s">
        <v>147</v>
      </c>
      <c r="G87" s="72">
        <v>4</v>
      </c>
      <c r="H87" s="72">
        <f t="shared" si="119"/>
        <v>4</v>
      </c>
      <c r="I87" s="73">
        <v>67.8</v>
      </c>
      <c r="J87" s="74">
        <v>3</v>
      </c>
      <c r="K87" s="74">
        <v>1</v>
      </c>
      <c r="L87" s="74">
        <f t="shared" si="120"/>
        <v>2</v>
      </c>
      <c r="M87" s="73">
        <v>67.8</v>
      </c>
      <c r="N87" s="73">
        <v>21.6</v>
      </c>
      <c r="O87" s="73">
        <f t="shared" si="121"/>
        <v>46.2</v>
      </c>
      <c r="P87" s="73">
        <f t="shared" si="122"/>
        <v>2439444</v>
      </c>
      <c r="Q87" s="107">
        <f t="shared" si="108"/>
        <v>1659399.85</v>
      </c>
      <c r="R87" s="107">
        <f t="shared" si="109"/>
        <v>210612.76</v>
      </c>
      <c r="S87" s="73">
        <f t="shared" si="123"/>
        <v>569431.39</v>
      </c>
      <c r="T87" s="50">
        <v>0</v>
      </c>
      <c r="U87" s="50">
        <f t="shared" ref="U87" si="126">SUM(U89:U98)</f>
        <v>0</v>
      </c>
      <c r="V87" s="58"/>
    </row>
    <row r="88" spans="1:59" s="81" customFormat="1" ht="28.5" customHeight="1" x14ac:dyDescent="0.25">
      <c r="A88" s="68">
        <v>14</v>
      </c>
      <c r="B88" s="75" t="s">
        <v>99</v>
      </c>
      <c r="C88" s="70" t="s">
        <v>48</v>
      </c>
      <c r="D88" s="71">
        <v>38042</v>
      </c>
      <c r="E88" s="64" t="s">
        <v>146</v>
      </c>
      <c r="F88" s="64" t="s">
        <v>147</v>
      </c>
      <c r="G88" s="72">
        <f>1+2</f>
        <v>3</v>
      </c>
      <c r="H88" s="72">
        <f t="shared" si="119"/>
        <v>3</v>
      </c>
      <c r="I88" s="73">
        <v>40.700000000000003</v>
      </c>
      <c r="J88" s="74">
        <v>2</v>
      </c>
      <c r="K88" s="74">
        <v>1</v>
      </c>
      <c r="L88" s="74">
        <f t="shared" si="120"/>
        <v>1</v>
      </c>
      <c r="M88" s="73">
        <v>40.700000000000003</v>
      </c>
      <c r="N88" s="73">
        <v>19.7</v>
      </c>
      <c r="O88" s="73">
        <f t="shared" si="121"/>
        <v>21</v>
      </c>
      <c r="P88" s="73">
        <f t="shared" si="122"/>
        <v>1464386</v>
      </c>
      <c r="Q88" s="107">
        <f t="shared" si="108"/>
        <v>996129.41</v>
      </c>
      <c r="R88" s="107">
        <f t="shared" si="109"/>
        <v>126429.79</v>
      </c>
      <c r="S88" s="73">
        <f t="shared" si="123"/>
        <v>341826.8</v>
      </c>
      <c r="T88" s="50">
        <v>0</v>
      </c>
      <c r="U88" s="50">
        <f t="shared" ref="U88" si="127">SUM(U90:U99)</f>
        <v>0</v>
      </c>
      <c r="V88" s="58"/>
      <c r="W88" s="80"/>
      <c r="X88" s="80"/>
      <c r="Y88" s="80"/>
      <c r="Z88" s="80"/>
      <c r="AA88" s="80"/>
      <c r="AB88" s="80"/>
      <c r="AC88" s="80"/>
      <c r="AD88" s="80"/>
      <c r="AE88" s="80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</row>
    <row r="89" spans="1:59" s="81" customFormat="1" ht="29.25" customHeight="1" x14ac:dyDescent="0.25">
      <c r="A89" s="68">
        <v>15</v>
      </c>
      <c r="B89" s="75" t="s">
        <v>100</v>
      </c>
      <c r="C89" s="70" t="s">
        <v>48</v>
      </c>
      <c r="D89" s="71">
        <v>38039</v>
      </c>
      <c r="E89" s="64" t="s">
        <v>146</v>
      </c>
      <c r="F89" s="64" t="s">
        <v>147</v>
      </c>
      <c r="G89" s="72">
        <v>5</v>
      </c>
      <c r="H89" s="72">
        <f t="shared" si="119"/>
        <v>5</v>
      </c>
      <c r="I89" s="73">
        <v>93.9</v>
      </c>
      <c r="J89" s="74">
        <v>3</v>
      </c>
      <c r="K89" s="74">
        <v>3</v>
      </c>
      <c r="L89" s="74">
        <f t="shared" si="120"/>
        <v>0</v>
      </c>
      <c r="M89" s="73">
        <v>61.1</v>
      </c>
      <c r="N89" s="73">
        <v>61.1</v>
      </c>
      <c r="O89" s="74">
        <v>0</v>
      </c>
      <c r="P89" s="73">
        <f t="shared" si="122"/>
        <v>2198378</v>
      </c>
      <c r="Q89" s="107">
        <f t="shared" si="108"/>
        <v>1495417.86</v>
      </c>
      <c r="R89" s="107">
        <f t="shared" si="109"/>
        <v>189800</v>
      </c>
      <c r="S89" s="73">
        <f t="shared" si="123"/>
        <v>513160.14</v>
      </c>
      <c r="T89" s="50">
        <v>0</v>
      </c>
      <c r="U89" s="50">
        <f t="shared" ref="U89:U98" si="128">SUM(U91:U99)</f>
        <v>0</v>
      </c>
      <c r="V89" s="58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  <c r="AP89" s="80"/>
      <c r="AQ89" s="80"/>
      <c r="AR89" s="80"/>
      <c r="AS89" s="80"/>
      <c r="AT89" s="80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0"/>
      <c r="BG89" s="80"/>
    </row>
    <row r="90" spans="1:59" s="81" customFormat="1" ht="30" customHeight="1" x14ac:dyDescent="0.25">
      <c r="A90" s="68">
        <v>16</v>
      </c>
      <c r="B90" s="75" t="s">
        <v>101</v>
      </c>
      <c r="C90" s="70" t="s">
        <v>48</v>
      </c>
      <c r="D90" s="71">
        <v>38042</v>
      </c>
      <c r="E90" s="64" t="s">
        <v>146</v>
      </c>
      <c r="F90" s="64" t="s">
        <v>147</v>
      </c>
      <c r="G90" s="72">
        <v>2</v>
      </c>
      <c r="H90" s="72">
        <f t="shared" si="119"/>
        <v>2</v>
      </c>
      <c r="I90" s="73">
        <f>100-29</f>
        <v>71</v>
      </c>
      <c r="J90" s="74">
        <f>K90+L90</f>
        <v>2</v>
      </c>
      <c r="K90" s="74">
        <v>2</v>
      </c>
      <c r="L90" s="74">
        <v>0</v>
      </c>
      <c r="M90" s="73">
        <f>N90+O90</f>
        <v>71</v>
      </c>
      <c r="N90" s="73">
        <f>41.7+29.3</f>
        <v>71</v>
      </c>
      <c r="O90" s="74">
        <v>0</v>
      </c>
      <c r="P90" s="73">
        <f t="shared" si="122"/>
        <v>2554580</v>
      </c>
      <c r="Q90" s="107">
        <f>P90*68.023691%-0.02</f>
        <v>1737719.59</v>
      </c>
      <c r="R90" s="107">
        <f>P90*8.633638%+0.03</f>
        <v>220553.22</v>
      </c>
      <c r="S90" s="73">
        <f t="shared" si="123"/>
        <v>596307.18999999994</v>
      </c>
      <c r="T90" s="50">
        <v>0</v>
      </c>
      <c r="U90" s="50">
        <f t="shared" si="128"/>
        <v>0</v>
      </c>
      <c r="V90" s="58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/>
      <c r="AK90" s="80"/>
      <c r="AL90" s="80"/>
      <c r="AM90" s="80"/>
      <c r="AN90" s="80"/>
      <c r="AO90" s="80"/>
      <c r="AP90" s="80"/>
      <c r="AQ90" s="80"/>
      <c r="AR90" s="80"/>
      <c r="AS90" s="80"/>
      <c r="AT90" s="80"/>
      <c r="AU90" s="80"/>
      <c r="AV90" s="80"/>
      <c r="AW90" s="80"/>
      <c r="AX90" s="80"/>
      <c r="AY90" s="80"/>
      <c r="AZ90" s="80"/>
      <c r="BA90" s="80"/>
      <c r="BB90" s="80"/>
      <c r="BC90" s="80"/>
      <c r="BD90" s="80"/>
      <c r="BE90" s="80"/>
      <c r="BF90" s="80"/>
      <c r="BG90" s="80"/>
    </row>
    <row r="91" spans="1:59" ht="30.75" customHeight="1" x14ac:dyDescent="0.25">
      <c r="A91" s="152" t="s">
        <v>122</v>
      </c>
      <c r="B91" s="152"/>
      <c r="C91" s="107"/>
      <c r="D91" s="83" t="s">
        <v>152</v>
      </c>
      <c r="E91" s="84"/>
      <c r="F91" s="84"/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f t="shared" si="128"/>
        <v>0</v>
      </c>
      <c r="V91" s="58"/>
    </row>
    <row r="92" spans="1:59" s="81" customFormat="1" ht="25.5" customHeight="1" x14ac:dyDescent="0.25">
      <c r="A92" s="149" t="s">
        <v>108</v>
      </c>
      <c r="B92" s="151"/>
      <c r="C92" s="82"/>
      <c r="D92" s="134" t="s">
        <v>155</v>
      </c>
      <c r="E92" s="84"/>
      <c r="F92" s="84"/>
      <c r="G92" s="57">
        <f>G94</f>
        <v>19</v>
      </c>
      <c r="H92" s="57">
        <f t="shared" ref="H92:T92" si="129">H94</f>
        <v>19</v>
      </c>
      <c r="I92" s="56">
        <f t="shared" si="129"/>
        <v>249.6</v>
      </c>
      <c r="J92" s="57">
        <f t="shared" si="129"/>
        <v>5</v>
      </c>
      <c r="K92" s="57">
        <f t="shared" si="129"/>
        <v>4</v>
      </c>
      <c r="L92" s="57">
        <f t="shared" si="129"/>
        <v>1</v>
      </c>
      <c r="M92" s="56">
        <f t="shared" si="129"/>
        <v>172.4</v>
      </c>
      <c r="N92" s="56">
        <f t="shared" si="129"/>
        <v>132.5</v>
      </c>
      <c r="O92" s="56">
        <f t="shared" si="129"/>
        <v>39.9</v>
      </c>
      <c r="P92" s="55">
        <f t="shared" si="129"/>
        <v>6202952</v>
      </c>
      <c r="Q92" s="55">
        <f t="shared" si="129"/>
        <v>4342066.4000000004</v>
      </c>
      <c r="R92" s="55">
        <f t="shared" si="129"/>
        <v>120100</v>
      </c>
      <c r="S92" s="55">
        <f t="shared" si="129"/>
        <v>1740785.6</v>
      </c>
      <c r="T92" s="57">
        <f t="shared" si="129"/>
        <v>0</v>
      </c>
      <c r="U92" s="57">
        <f t="shared" si="128"/>
        <v>0</v>
      </c>
      <c r="V92" s="58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0"/>
      <c r="AH92" s="80"/>
      <c r="AI92" s="80"/>
      <c r="AJ92" s="80"/>
      <c r="AK92" s="80"/>
      <c r="AL92" s="80"/>
      <c r="AM92" s="80"/>
      <c r="AN92" s="80"/>
      <c r="AO92" s="80"/>
      <c r="AP92" s="80"/>
      <c r="AQ92" s="80"/>
      <c r="AR92" s="80"/>
      <c r="AS92" s="80"/>
      <c r="AT92" s="80"/>
      <c r="AU92" s="80"/>
      <c r="AV92" s="80"/>
      <c r="AW92" s="80"/>
      <c r="AX92" s="80"/>
      <c r="AY92" s="80"/>
      <c r="AZ92" s="80"/>
      <c r="BA92" s="80"/>
      <c r="BB92" s="80"/>
      <c r="BC92" s="80"/>
      <c r="BD92" s="80"/>
      <c r="BE92" s="80"/>
      <c r="BF92" s="80"/>
      <c r="BG92" s="80"/>
    </row>
    <row r="93" spans="1:59" s="81" customFormat="1" ht="30.75" customHeight="1" x14ac:dyDescent="0.25">
      <c r="A93" s="149" t="s">
        <v>123</v>
      </c>
      <c r="B93" s="150"/>
      <c r="C93" s="107"/>
      <c r="D93" s="83" t="s">
        <v>155</v>
      </c>
      <c r="E93" s="84"/>
      <c r="F93" s="84"/>
      <c r="G93" s="50">
        <f>G94</f>
        <v>19</v>
      </c>
      <c r="H93" s="50">
        <f t="shared" ref="H93:T93" si="130">H94</f>
        <v>19</v>
      </c>
      <c r="I93" s="50">
        <f t="shared" si="130"/>
        <v>250</v>
      </c>
      <c r="J93" s="50">
        <f t="shared" si="130"/>
        <v>5</v>
      </c>
      <c r="K93" s="50">
        <f t="shared" si="130"/>
        <v>4</v>
      </c>
      <c r="L93" s="50">
        <f t="shared" si="130"/>
        <v>1</v>
      </c>
      <c r="M93" s="51">
        <f t="shared" si="130"/>
        <v>172.4</v>
      </c>
      <c r="N93" s="51">
        <f t="shared" si="130"/>
        <v>132.5</v>
      </c>
      <c r="O93" s="51">
        <f t="shared" si="130"/>
        <v>39.9</v>
      </c>
      <c r="P93" s="107">
        <f t="shared" si="130"/>
        <v>6202952</v>
      </c>
      <c r="Q93" s="107">
        <f t="shared" si="130"/>
        <v>4342066.4000000004</v>
      </c>
      <c r="R93" s="107">
        <f t="shared" si="130"/>
        <v>120100</v>
      </c>
      <c r="S93" s="107">
        <f t="shared" si="130"/>
        <v>1740785.6</v>
      </c>
      <c r="T93" s="50">
        <f t="shared" si="130"/>
        <v>0</v>
      </c>
      <c r="U93" s="50">
        <f t="shared" si="128"/>
        <v>0</v>
      </c>
      <c r="V93" s="58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</row>
    <row r="94" spans="1:59" s="81" customFormat="1" ht="23.25" customHeight="1" x14ac:dyDescent="0.25">
      <c r="A94" s="149" t="s">
        <v>102</v>
      </c>
      <c r="B94" s="150"/>
      <c r="C94" s="107"/>
      <c r="D94" s="83" t="s">
        <v>155</v>
      </c>
      <c r="E94" s="84"/>
      <c r="F94" s="84"/>
      <c r="G94" s="50">
        <f>SUM(G95:G97)</f>
        <v>19</v>
      </c>
      <c r="H94" s="50">
        <f t="shared" ref="H94:T94" si="131">SUM(H95:H97)</f>
        <v>19</v>
      </c>
      <c r="I94" s="51">
        <f t="shared" si="131"/>
        <v>249.6</v>
      </c>
      <c r="J94" s="50">
        <f t="shared" si="131"/>
        <v>5</v>
      </c>
      <c r="K94" s="50">
        <f t="shared" si="131"/>
        <v>4</v>
      </c>
      <c r="L94" s="50">
        <f t="shared" si="131"/>
        <v>1</v>
      </c>
      <c r="M94" s="51">
        <f t="shared" si="131"/>
        <v>172.4</v>
      </c>
      <c r="N94" s="51">
        <f t="shared" si="131"/>
        <v>132.5</v>
      </c>
      <c r="O94" s="51">
        <f t="shared" si="131"/>
        <v>39.9</v>
      </c>
      <c r="P94" s="107">
        <f t="shared" si="131"/>
        <v>6202952</v>
      </c>
      <c r="Q94" s="107">
        <f t="shared" si="131"/>
        <v>4342066.4000000004</v>
      </c>
      <c r="R94" s="107">
        <f t="shared" si="131"/>
        <v>120100</v>
      </c>
      <c r="S94" s="107">
        <f t="shared" si="131"/>
        <v>1740785.6</v>
      </c>
      <c r="T94" s="50">
        <f t="shared" si="131"/>
        <v>0</v>
      </c>
      <c r="U94" s="50">
        <f t="shared" si="128"/>
        <v>0</v>
      </c>
      <c r="V94" s="58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80"/>
      <c r="AH94" s="80"/>
      <c r="AI94" s="80"/>
      <c r="AJ94" s="80"/>
      <c r="AK94" s="80"/>
      <c r="AL94" s="80"/>
      <c r="AM94" s="80"/>
      <c r="AN94" s="80"/>
      <c r="AO94" s="80"/>
      <c r="AP94" s="80"/>
      <c r="AQ94" s="80"/>
      <c r="AR94" s="80"/>
      <c r="AS94" s="80"/>
      <c r="AT94" s="80"/>
      <c r="AU94" s="80"/>
      <c r="AV94" s="80"/>
      <c r="AW94" s="80"/>
      <c r="AX94" s="80"/>
      <c r="AY94" s="80"/>
      <c r="AZ94" s="80"/>
      <c r="BA94" s="80"/>
      <c r="BB94" s="80"/>
      <c r="BC94" s="80"/>
      <c r="BD94" s="80"/>
      <c r="BE94" s="80"/>
      <c r="BF94" s="80"/>
      <c r="BG94" s="80"/>
    </row>
    <row r="95" spans="1:59" ht="27.75" customHeight="1" x14ac:dyDescent="0.25">
      <c r="A95" s="85">
        <v>1</v>
      </c>
      <c r="B95" s="75" t="s">
        <v>92</v>
      </c>
      <c r="C95" s="70" t="s">
        <v>48</v>
      </c>
      <c r="D95" s="71">
        <v>38042</v>
      </c>
      <c r="E95" s="64" t="s">
        <v>148</v>
      </c>
      <c r="F95" s="64" t="s">
        <v>149</v>
      </c>
      <c r="G95" s="72">
        <f>4</f>
        <v>4</v>
      </c>
      <c r="H95" s="72">
        <f>G95</f>
        <v>4</v>
      </c>
      <c r="I95" s="73">
        <v>79.8</v>
      </c>
      <c r="J95" s="74">
        <v>1</v>
      </c>
      <c r="K95" s="74">
        <v>0</v>
      </c>
      <c r="L95" s="74">
        <f>J95-K95</f>
        <v>1</v>
      </c>
      <c r="M95" s="73">
        <v>39.9</v>
      </c>
      <c r="N95" s="73">
        <v>0</v>
      </c>
      <c r="O95" s="73">
        <f>M95-N95</f>
        <v>39.9</v>
      </c>
      <c r="P95" s="73">
        <f>M95*35980</f>
        <v>1435602</v>
      </c>
      <c r="Q95" s="107">
        <f>P95*70%</f>
        <v>1004921.4</v>
      </c>
      <c r="R95" s="107">
        <f>P95*1.936175%</f>
        <v>27795.77</v>
      </c>
      <c r="S95" s="73">
        <f t="shared" ref="S95:S97" si="132">P95-Q95-R95</f>
        <v>402884.83</v>
      </c>
      <c r="T95" s="50">
        <v>0</v>
      </c>
      <c r="U95" s="50">
        <f t="shared" si="128"/>
        <v>0</v>
      </c>
      <c r="V95" s="58"/>
    </row>
    <row r="96" spans="1:59" ht="31.5" customHeight="1" x14ac:dyDescent="0.25">
      <c r="A96" s="85">
        <v>2</v>
      </c>
      <c r="B96" s="75" t="s">
        <v>93</v>
      </c>
      <c r="C96" s="70" t="s">
        <v>48</v>
      </c>
      <c r="D96" s="71">
        <v>38042</v>
      </c>
      <c r="E96" s="64" t="s">
        <v>148</v>
      </c>
      <c r="F96" s="64" t="s">
        <v>149</v>
      </c>
      <c r="G96" s="72">
        <f>3</f>
        <v>3</v>
      </c>
      <c r="H96" s="72">
        <f>G96</f>
        <v>3</v>
      </c>
      <c r="I96" s="73">
        <v>75.599999999999994</v>
      </c>
      <c r="J96" s="74">
        <v>1</v>
      </c>
      <c r="K96" s="74">
        <v>1</v>
      </c>
      <c r="L96" s="74">
        <f>J96-K96</f>
        <v>0</v>
      </c>
      <c r="M96" s="73">
        <v>38.299999999999997</v>
      </c>
      <c r="N96" s="73">
        <v>38.299999999999997</v>
      </c>
      <c r="O96" s="73">
        <f>M96-N96</f>
        <v>0</v>
      </c>
      <c r="P96" s="73">
        <f>M96*35980</f>
        <v>1378034</v>
      </c>
      <c r="Q96" s="116">
        <f t="shared" ref="Q96:Q97" si="133">P96*70%</f>
        <v>964623.8</v>
      </c>
      <c r="R96" s="116">
        <f t="shared" ref="R96" si="134">P96*1.936175%</f>
        <v>26681.15</v>
      </c>
      <c r="S96" s="73">
        <f t="shared" si="132"/>
        <v>386729.05</v>
      </c>
      <c r="T96" s="50">
        <v>0</v>
      </c>
      <c r="U96" s="50">
        <f t="shared" si="128"/>
        <v>0</v>
      </c>
      <c r="V96" s="58"/>
    </row>
    <row r="97" spans="1:59" s="81" customFormat="1" ht="30.75" customHeight="1" x14ac:dyDescent="0.25">
      <c r="A97" s="85">
        <v>3</v>
      </c>
      <c r="B97" s="75" t="s">
        <v>90</v>
      </c>
      <c r="C97" s="70" t="s">
        <v>48</v>
      </c>
      <c r="D97" s="64" t="s">
        <v>106</v>
      </c>
      <c r="E97" s="64" t="s">
        <v>148</v>
      </c>
      <c r="F97" s="64" t="s">
        <v>149</v>
      </c>
      <c r="G97" s="72">
        <v>12</v>
      </c>
      <c r="H97" s="72">
        <f>G97</f>
        <v>12</v>
      </c>
      <c r="I97" s="73">
        <v>94.2</v>
      </c>
      <c r="J97" s="74">
        <v>3</v>
      </c>
      <c r="K97" s="74">
        <v>3</v>
      </c>
      <c r="L97" s="74">
        <f>J97-K97</f>
        <v>0</v>
      </c>
      <c r="M97" s="73">
        <v>94.2</v>
      </c>
      <c r="N97" s="73">
        <v>94.2</v>
      </c>
      <c r="O97" s="73">
        <f>M97-N97</f>
        <v>0</v>
      </c>
      <c r="P97" s="73">
        <f>M97*35980</f>
        <v>3389316</v>
      </c>
      <c r="Q97" s="116">
        <f t="shared" si="133"/>
        <v>2372521.2000000002</v>
      </c>
      <c r="R97" s="116">
        <f>P97*1.936175%-0.01</f>
        <v>65623.08</v>
      </c>
      <c r="S97" s="73">
        <f t="shared" si="132"/>
        <v>951171.72</v>
      </c>
      <c r="T97" s="72">
        <v>0</v>
      </c>
      <c r="U97" s="50">
        <f t="shared" si="128"/>
        <v>0</v>
      </c>
      <c r="V97" s="58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  <c r="AN97" s="80"/>
      <c r="AO97" s="80"/>
      <c r="AP97" s="80"/>
      <c r="AQ97" s="80"/>
      <c r="AR97" s="80"/>
      <c r="AS97" s="80"/>
      <c r="AT97" s="80"/>
      <c r="AU97" s="80"/>
      <c r="AV97" s="80"/>
      <c r="AW97" s="80"/>
      <c r="AX97" s="80"/>
      <c r="AY97" s="80"/>
      <c r="AZ97" s="80"/>
      <c r="BA97" s="80"/>
      <c r="BB97" s="80"/>
      <c r="BC97" s="80"/>
      <c r="BD97" s="80"/>
      <c r="BE97" s="80"/>
      <c r="BF97" s="80"/>
      <c r="BG97" s="80"/>
    </row>
    <row r="98" spans="1:59" s="81" customFormat="1" ht="30.75" customHeight="1" x14ac:dyDescent="0.25">
      <c r="A98" s="149" t="s">
        <v>109</v>
      </c>
      <c r="B98" s="150"/>
      <c r="C98" s="107"/>
      <c r="D98" s="83" t="s">
        <v>152</v>
      </c>
      <c r="E98" s="84"/>
      <c r="F98" s="84"/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f t="shared" si="128"/>
        <v>0</v>
      </c>
      <c r="V98" s="58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  <c r="AT98" s="80"/>
      <c r="AU98" s="80"/>
      <c r="AV98" s="80"/>
      <c r="AW98" s="80"/>
      <c r="AX98" s="80"/>
      <c r="AY98" s="80"/>
      <c r="AZ98" s="80"/>
      <c r="BA98" s="80"/>
      <c r="BB98" s="80"/>
      <c r="BC98" s="80"/>
      <c r="BD98" s="80"/>
      <c r="BE98" s="80"/>
      <c r="BF98" s="80"/>
      <c r="BG98" s="80"/>
    </row>
    <row r="99" spans="1:59" ht="29.25" customHeight="1" x14ac:dyDescent="0.25">
      <c r="A99" s="88"/>
      <c r="B99" s="88"/>
      <c r="C99" s="89"/>
      <c r="D99" s="90"/>
      <c r="E99" s="89"/>
      <c r="F99" s="89"/>
      <c r="G99" s="91"/>
      <c r="H99" s="91"/>
      <c r="I99" s="89"/>
      <c r="J99" s="92"/>
      <c r="K99" s="92"/>
      <c r="L99" s="92"/>
      <c r="M99" s="89"/>
      <c r="N99" s="89"/>
      <c r="O99" s="89"/>
      <c r="P99" s="89"/>
      <c r="Q99" s="93"/>
      <c r="R99" s="89"/>
      <c r="S99" s="89"/>
      <c r="T99" s="94"/>
    </row>
    <row r="100" spans="1:59" x14ac:dyDescent="0.25">
      <c r="A100" s="95"/>
      <c r="B100" s="95"/>
      <c r="D100" s="96"/>
      <c r="F100" s="46"/>
      <c r="G100" s="53"/>
      <c r="H100" s="53"/>
      <c r="I100" s="46"/>
    </row>
    <row r="101" spans="1:59" x14ac:dyDescent="0.25">
      <c r="A101" s="95"/>
      <c r="B101" s="95"/>
      <c r="C101" s="99"/>
      <c r="D101" s="96"/>
      <c r="F101" s="46"/>
      <c r="G101" s="53"/>
      <c r="H101" s="53"/>
      <c r="I101" s="46"/>
      <c r="K101" s="53"/>
    </row>
    <row r="102" spans="1:59" x14ac:dyDescent="0.25">
      <c r="A102" s="95"/>
      <c r="B102" s="95"/>
      <c r="D102" s="96"/>
    </row>
    <row r="103" spans="1:59" x14ac:dyDescent="0.25">
      <c r="A103" s="95"/>
      <c r="B103" s="95"/>
      <c r="D103" s="96"/>
    </row>
    <row r="104" spans="1:59" x14ac:dyDescent="0.25">
      <c r="A104" s="95"/>
      <c r="B104" s="95"/>
      <c r="D104" s="96"/>
    </row>
    <row r="105" spans="1:59" x14ac:dyDescent="0.25">
      <c r="A105" s="95"/>
      <c r="B105" s="95"/>
      <c r="D105" s="96"/>
    </row>
    <row r="106" spans="1:59" x14ac:dyDescent="0.25">
      <c r="A106" s="95"/>
      <c r="B106" s="95"/>
      <c r="D106" s="96"/>
    </row>
    <row r="107" spans="1:59" x14ac:dyDescent="0.25">
      <c r="A107" s="95"/>
      <c r="B107" s="95"/>
      <c r="D107" s="96"/>
    </row>
    <row r="108" spans="1:59" x14ac:dyDescent="0.25">
      <c r="A108" s="95"/>
      <c r="B108" s="95"/>
      <c r="D108" s="96"/>
    </row>
    <row r="109" spans="1:59" x14ac:dyDescent="0.25">
      <c r="A109" s="95"/>
      <c r="B109" s="95"/>
      <c r="D109" s="96"/>
    </row>
    <row r="110" spans="1:59" x14ac:dyDescent="0.25">
      <c r="A110" s="95"/>
      <c r="B110" s="95"/>
      <c r="D110" s="96"/>
    </row>
    <row r="111" spans="1:59" x14ac:dyDescent="0.25">
      <c r="A111" s="95"/>
      <c r="B111" s="95"/>
      <c r="D111" s="96"/>
    </row>
    <row r="112" spans="1:59" x14ac:dyDescent="0.25">
      <c r="A112" s="95"/>
      <c r="B112" s="95"/>
      <c r="D112" s="96"/>
    </row>
    <row r="113" spans="1:4" x14ac:dyDescent="0.25">
      <c r="A113" s="95"/>
      <c r="B113" s="95"/>
      <c r="D113" s="96"/>
    </row>
    <row r="114" spans="1:4" x14ac:dyDescent="0.25">
      <c r="A114" s="95"/>
      <c r="B114" s="95"/>
      <c r="D114" s="96"/>
    </row>
    <row r="115" spans="1:4" x14ac:dyDescent="0.25">
      <c r="A115" s="95"/>
      <c r="B115" s="95"/>
      <c r="D115" s="96"/>
    </row>
    <row r="116" spans="1:4" x14ac:dyDescent="0.25">
      <c r="A116" s="95"/>
      <c r="B116" s="95"/>
      <c r="D116" s="96"/>
    </row>
    <row r="117" spans="1:4" x14ac:dyDescent="0.25">
      <c r="A117" s="95"/>
      <c r="B117" s="95"/>
      <c r="D117" s="96"/>
    </row>
    <row r="118" spans="1:4" x14ac:dyDescent="0.25">
      <c r="A118" s="95"/>
      <c r="B118" s="95"/>
      <c r="D118" s="96"/>
    </row>
    <row r="119" spans="1:4" x14ac:dyDescent="0.25">
      <c r="A119" s="95"/>
      <c r="B119" s="95"/>
      <c r="D119" s="96"/>
    </row>
    <row r="120" spans="1:4" x14ac:dyDescent="0.25">
      <c r="A120" s="95"/>
      <c r="B120" s="95"/>
    </row>
    <row r="121" spans="1:4" x14ac:dyDescent="0.25">
      <c r="A121" s="95"/>
      <c r="B121" s="95"/>
    </row>
    <row r="122" spans="1:4" x14ac:dyDescent="0.25">
      <c r="A122" s="95"/>
      <c r="B122" s="95"/>
    </row>
    <row r="123" spans="1:4" x14ac:dyDescent="0.25">
      <c r="A123" s="95"/>
      <c r="B123" s="95"/>
    </row>
    <row r="124" spans="1:4" x14ac:dyDescent="0.25">
      <c r="A124" s="95"/>
      <c r="B124" s="95"/>
    </row>
    <row r="125" spans="1:4" x14ac:dyDescent="0.25">
      <c r="A125" s="95"/>
      <c r="B125" s="95"/>
    </row>
    <row r="126" spans="1:4" x14ac:dyDescent="0.25">
      <c r="A126" s="95"/>
      <c r="B126" s="95"/>
    </row>
    <row r="127" spans="1:4" x14ac:dyDescent="0.25">
      <c r="A127" s="95"/>
      <c r="B127" s="95"/>
    </row>
    <row r="128" spans="1:4" x14ac:dyDescent="0.25">
      <c r="A128" s="95"/>
      <c r="B128" s="95"/>
    </row>
    <row r="129" spans="1:2" x14ac:dyDescent="0.25">
      <c r="A129" s="95"/>
      <c r="B129" s="95"/>
    </row>
    <row r="130" spans="1:2" x14ac:dyDescent="0.25">
      <c r="A130" s="95"/>
      <c r="B130" s="95"/>
    </row>
    <row r="131" spans="1:2" x14ac:dyDescent="0.25">
      <c r="A131" s="95"/>
      <c r="B131" s="95"/>
    </row>
  </sheetData>
  <mergeCells count="44">
    <mergeCell ref="A98:B98"/>
    <mergeCell ref="A50:B50"/>
    <mergeCell ref="A73:B73"/>
    <mergeCell ref="A68:B68"/>
    <mergeCell ref="A91:B91"/>
    <mergeCell ref="A93:B93"/>
    <mergeCell ref="A94:B94"/>
    <mergeCell ref="A51:B51"/>
    <mergeCell ref="A52:B52"/>
    <mergeCell ref="A92:B92"/>
    <mergeCell ref="A74:B74"/>
    <mergeCell ref="A72:B72"/>
    <mergeCell ref="A69:B69"/>
    <mergeCell ref="A49:B49"/>
    <mergeCell ref="A12:B12"/>
    <mergeCell ref="A13:B13"/>
    <mergeCell ref="A25:B25"/>
    <mergeCell ref="A14:B14"/>
    <mergeCell ref="A28:B28"/>
    <mergeCell ref="A27:B27"/>
    <mergeCell ref="A3:T3"/>
    <mergeCell ref="F4:F7"/>
    <mergeCell ref="G4:G6"/>
    <mergeCell ref="H4:H6"/>
    <mergeCell ref="I4:I6"/>
    <mergeCell ref="J4:L4"/>
    <mergeCell ref="A4:A7"/>
    <mergeCell ref="N5:O5"/>
    <mergeCell ref="J5:J6"/>
    <mergeCell ref="P4:U4"/>
    <mergeCell ref="Q5:U5"/>
    <mergeCell ref="M5:M6"/>
    <mergeCell ref="K5:L5"/>
    <mergeCell ref="E4:E7"/>
    <mergeCell ref="P5:P6"/>
    <mergeCell ref="M4:O4"/>
    <mergeCell ref="A10:B10"/>
    <mergeCell ref="A26:B26"/>
    <mergeCell ref="A9:B9"/>
    <mergeCell ref="D5:D7"/>
    <mergeCell ref="C5:C7"/>
    <mergeCell ref="B4:B7"/>
    <mergeCell ref="C4:D4"/>
    <mergeCell ref="A11:B11"/>
  </mergeCells>
  <phoneticPr fontId="0" type="noConversion"/>
  <pageMargins left="0" right="0" top="0.74803149606299213" bottom="0.3937007874015748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workbookViewId="0">
      <selection sqref="A1:XFD1048576"/>
    </sheetView>
  </sheetViews>
  <sheetFormatPr defaultRowHeight="12.75" x14ac:dyDescent="0.2"/>
  <cols>
    <col min="1" max="1" width="6.42578125" style="13" customWidth="1"/>
    <col min="2" max="2" width="31.5703125" style="3" customWidth="1"/>
    <col min="3" max="3" width="10.85546875" style="3" customWidth="1"/>
    <col min="4" max="4" width="13.5703125" style="3" customWidth="1"/>
    <col min="5" max="5" width="7.5703125" style="13" customWidth="1"/>
    <col min="6" max="6" width="7" style="13" customWidth="1"/>
    <col min="7" max="7" width="7.7109375" style="13" customWidth="1"/>
    <col min="8" max="8" width="10.28515625" style="3" customWidth="1"/>
    <col min="9" max="9" width="13.42578125" style="3" customWidth="1"/>
    <col min="10" max="10" width="9.85546875" style="3" bestFit="1" customWidth="1"/>
    <col min="11" max="14" width="9.28515625" style="13" bestFit="1" customWidth="1"/>
    <col min="15" max="16" width="8.140625" style="13" customWidth="1"/>
    <col min="17" max="16384" width="9.140625" style="3"/>
  </cols>
  <sheetData>
    <row r="1" spans="1:17" ht="15.75" x14ac:dyDescent="0.25">
      <c r="J1" s="129" t="s">
        <v>167</v>
      </c>
      <c r="L1" s="129"/>
      <c r="M1" s="129"/>
      <c r="N1" s="129"/>
      <c r="O1" s="129"/>
      <c r="P1" s="129"/>
    </row>
    <row r="3" spans="1:17" ht="18.75" x14ac:dyDescent="0.2">
      <c r="A3" s="165" t="s">
        <v>28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</row>
    <row r="4" spans="1:17" x14ac:dyDescent="0.2">
      <c r="A4" s="16"/>
    </row>
    <row r="5" spans="1:17" ht="37.5" customHeight="1" x14ac:dyDescent="0.2">
      <c r="A5" s="166" t="s">
        <v>2</v>
      </c>
      <c r="B5" s="167" t="s">
        <v>17</v>
      </c>
      <c r="C5" s="167" t="s">
        <v>6</v>
      </c>
      <c r="D5" s="167"/>
      <c r="E5" s="166" t="s">
        <v>29</v>
      </c>
      <c r="F5" s="166"/>
      <c r="G5" s="166"/>
      <c r="H5" s="169" t="s">
        <v>35</v>
      </c>
      <c r="I5" s="169"/>
      <c r="J5" s="169"/>
      <c r="K5" s="168" t="s">
        <v>36</v>
      </c>
      <c r="L5" s="168"/>
      <c r="M5" s="168"/>
      <c r="N5" s="168" t="s">
        <v>37</v>
      </c>
      <c r="O5" s="168"/>
      <c r="P5" s="168"/>
      <c r="Q5" s="4"/>
    </row>
    <row r="6" spans="1:17" ht="162.75" customHeight="1" x14ac:dyDescent="0.2">
      <c r="A6" s="166"/>
      <c r="B6" s="167"/>
      <c r="C6" s="5" t="s">
        <v>22</v>
      </c>
      <c r="D6" s="5" t="s">
        <v>30</v>
      </c>
      <c r="E6" s="14" t="s">
        <v>31</v>
      </c>
      <c r="F6" s="14" t="s">
        <v>32</v>
      </c>
      <c r="G6" s="15" t="s">
        <v>33</v>
      </c>
      <c r="H6" s="5" t="s">
        <v>31</v>
      </c>
      <c r="I6" s="5" t="s">
        <v>32</v>
      </c>
      <c r="J6" s="6" t="s">
        <v>33</v>
      </c>
      <c r="K6" s="15" t="s">
        <v>31</v>
      </c>
      <c r="L6" s="14" t="s">
        <v>32</v>
      </c>
      <c r="M6" s="15" t="s">
        <v>33</v>
      </c>
      <c r="N6" s="15" t="s">
        <v>31</v>
      </c>
      <c r="O6" s="14" t="s">
        <v>32</v>
      </c>
      <c r="P6" s="15" t="s">
        <v>33</v>
      </c>
      <c r="Q6" s="4"/>
    </row>
    <row r="7" spans="1:17" x14ac:dyDescent="0.2">
      <c r="A7" s="166"/>
      <c r="B7" s="167"/>
      <c r="C7" s="1" t="s">
        <v>34</v>
      </c>
      <c r="D7" s="1" t="s">
        <v>14</v>
      </c>
      <c r="E7" s="2" t="s">
        <v>34</v>
      </c>
      <c r="F7" s="2" t="s">
        <v>14</v>
      </c>
      <c r="G7" s="2" t="s">
        <v>14</v>
      </c>
      <c r="H7" s="1" t="s">
        <v>34</v>
      </c>
      <c r="I7" s="1" t="s">
        <v>14</v>
      </c>
      <c r="J7" s="1" t="s">
        <v>14</v>
      </c>
      <c r="K7" s="2" t="s">
        <v>34</v>
      </c>
      <c r="L7" s="2" t="s">
        <v>14</v>
      </c>
      <c r="M7" s="2" t="s">
        <v>14</v>
      </c>
      <c r="N7" s="2" t="s">
        <v>34</v>
      </c>
      <c r="O7" s="2" t="s">
        <v>14</v>
      </c>
      <c r="P7" s="2" t="s">
        <v>14</v>
      </c>
      <c r="Q7" s="7"/>
    </row>
    <row r="8" spans="1:17" s="12" customFormat="1" x14ac:dyDescent="0.2">
      <c r="A8" s="153">
        <v>1</v>
      </c>
      <c r="B8" s="153"/>
      <c r="C8" s="10">
        <v>3</v>
      </c>
      <c r="D8" s="10">
        <v>4</v>
      </c>
      <c r="E8" s="2">
        <v>5</v>
      </c>
      <c r="F8" s="2">
        <v>6</v>
      </c>
      <c r="G8" s="2">
        <v>7</v>
      </c>
      <c r="H8" s="10">
        <v>8</v>
      </c>
      <c r="I8" s="10">
        <v>9</v>
      </c>
      <c r="J8" s="10">
        <v>10</v>
      </c>
      <c r="K8" s="2">
        <v>11</v>
      </c>
      <c r="L8" s="2">
        <v>12</v>
      </c>
      <c r="M8" s="2">
        <v>13</v>
      </c>
      <c r="N8" s="2">
        <v>14</v>
      </c>
      <c r="O8" s="2">
        <v>15</v>
      </c>
      <c r="P8" s="2">
        <v>16</v>
      </c>
      <c r="Q8" s="11"/>
    </row>
    <row r="9" spans="1:17" x14ac:dyDescent="0.2">
      <c r="A9" s="159" t="s">
        <v>156</v>
      </c>
      <c r="B9" s="159"/>
      <c r="C9" s="1">
        <f>'Приложение 1'!M9</f>
        <v>8406.16</v>
      </c>
      <c r="D9" s="1">
        <f>'Приложение 1'!P9</f>
        <v>297179632.60000002</v>
      </c>
      <c r="E9" s="2">
        <v>0</v>
      </c>
      <c r="F9" s="2">
        <v>0</v>
      </c>
      <c r="G9" s="2">
        <v>0</v>
      </c>
      <c r="H9" s="1">
        <f t="shared" ref="H9:I11" si="0">C9</f>
        <v>8406.16</v>
      </c>
      <c r="I9" s="1">
        <f t="shared" si="0"/>
        <v>297179632.60000002</v>
      </c>
      <c r="J9" s="1"/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7"/>
    </row>
    <row r="10" spans="1:17" ht="28.5" customHeight="1" x14ac:dyDescent="0.2">
      <c r="A10" s="158" t="s">
        <v>157</v>
      </c>
      <c r="B10" s="158"/>
      <c r="C10" s="33">
        <f>'Приложение 1'!M10</f>
        <v>6059.46</v>
      </c>
      <c r="D10" s="33">
        <f>'Приложение 1'!P10</f>
        <v>212559273</v>
      </c>
      <c r="E10" s="2">
        <v>0</v>
      </c>
      <c r="F10" s="2">
        <v>0</v>
      </c>
      <c r="G10" s="2">
        <v>0</v>
      </c>
      <c r="H10" s="33">
        <f t="shared" si="0"/>
        <v>6059.46</v>
      </c>
      <c r="I10" s="33">
        <f t="shared" si="0"/>
        <v>212559273</v>
      </c>
      <c r="J10" s="115"/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7"/>
    </row>
    <row r="11" spans="1:17" ht="27.75" customHeight="1" x14ac:dyDescent="0.2">
      <c r="A11" s="158" t="s">
        <v>158</v>
      </c>
      <c r="B11" s="158"/>
      <c r="C11" s="1">
        <f>'Приложение 1'!M11</f>
        <v>2346.6999999999998</v>
      </c>
      <c r="D11" s="1">
        <f>'Приложение 1'!P11</f>
        <v>84620359.599999994</v>
      </c>
      <c r="E11" s="10">
        <f>E10</f>
        <v>0</v>
      </c>
      <c r="F11" s="10">
        <f>F10</f>
        <v>0</v>
      </c>
      <c r="G11" s="10">
        <f>G10</f>
        <v>0</v>
      </c>
      <c r="H11" s="1">
        <f t="shared" si="0"/>
        <v>2346.6999999999998</v>
      </c>
      <c r="I11" s="1">
        <f t="shared" si="0"/>
        <v>84620359.599999994</v>
      </c>
      <c r="J11" s="115"/>
      <c r="K11" s="10">
        <f t="shared" ref="K11:P11" si="1">K10</f>
        <v>0</v>
      </c>
      <c r="L11" s="10">
        <f t="shared" si="1"/>
        <v>0</v>
      </c>
      <c r="M11" s="10">
        <f t="shared" si="1"/>
        <v>0</v>
      </c>
      <c r="N11" s="10">
        <f t="shared" si="1"/>
        <v>0</v>
      </c>
      <c r="O11" s="10">
        <f t="shared" si="1"/>
        <v>0</v>
      </c>
      <c r="P11" s="10">
        <f t="shared" si="1"/>
        <v>0</v>
      </c>
      <c r="Q11" s="7"/>
    </row>
    <row r="12" spans="1:17" ht="27.75" customHeight="1" x14ac:dyDescent="0.2">
      <c r="A12" s="160" t="str">
        <f>'Приложение 1'!A12:B12</f>
        <v>Всего  по этапу 2013 года , в т.ч.:</v>
      </c>
      <c r="B12" s="161"/>
      <c r="C12" s="37">
        <f>'Приложение 1'!M13</f>
        <v>2983.66</v>
      </c>
      <c r="D12" s="37">
        <f>'Приложение 1'!P13</f>
        <v>101891989</v>
      </c>
      <c r="E12" s="35">
        <f t="shared" ref="E12:E24" si="2">E11</f>
        <v>0</v>
      </c>
      <c r="F12" s="35">
        <f t="shared" ref="F12:F24" si="3">F11</f>
        <v>0</v>
      </c>
      <c r="G12" s="35">
        <f t="shared" ref="G12:G24" si="4">G11</f>
        <v>0</v>
      </c>
      <c r="H12" s="37">
        <f>C12</f>
        <v>2983.66</v>
      </c>
      <c r="I12" s="37">
        <f>D12</f>
        <v>101891989</v>
      </c>
      <c r="J12" s="115">
        <f t="shared" ref="J12:J76" si="5">I12/H12</f>
        <v>34150</v>
      </c>
      <c r="K12" s="113">
        <f t="shared" ref="K12:P12" si="6">K11</f>
        <v>0</v>
      </c>
      <c r="L12" s="113">
        <f t="shared" si="6"/>
        <v>0</v>
      </c>
      <c r="M12" s="113">
        <f t="shared" si="6"/>
        <v>0</v>
      </c>
      <c r="N12" s="113">
        <f t="shared" si="6"/>
        <v>0</v>
      </c>
      <c r="O12" s="113">
        <f t="shared" si="6"/>
        <v>0</v>
      </c>
      <c r="P12" s="113">
        <f t="shared" si="6"/>
        <v>0</v>
      </c>
      <c r="Q12" s="7"/>
    </row>
    <row r="13" spans="1:17" ht="27.75" customHeight="1" x14ac:dyDescent="0.2">
      <c r="A13" s="160" t="str">
        <f>'Приложение 1'!A13:B13</f>
        <v xml:space="preserve">Всего по этапу 2013 года,  с финансовой поддержки Фонда </v>
      </c>
      <c r="B13" s="161"/>
      <c r="C13" s="37">
        <f>C12</f>
        <v>2983.66</v>
      </c>
      <c r="D13" s="37">
        <f t="shared" ref="D13" si="7">D12</f>
        <v>101891989</v>
      </c>
      <c r="E13" s="36">
        <f t="shared" si="2"/>
        <v>0</v>
      </c>
      <c r="F13" s="36">
        <f t="shared" si="3"/>
        <v>0</v>
      </c>
      <c r="G13" s="36">
        <f t="shared" si="4"/>
        <v>0</v>
      </c>
      <c r="H13" s="37">
        <f t="shared" ref="H13:P14" si="8">H12</f>
        <v>2983.66</v>
      </c>
      <c r="I13" s="37">
        <f t="shared" si="8"/>
        <v>101891989</v>
      </c>
      <c r="J13" s="115">
        <f t="shared" si="5"/>
        <v>34150</v>
      </c>
      <c r="K13" s="113">
        <f t="shared" si="8"/>
        <v>0</v>
      </c>
      <c r="L13" s="113">
        <f t="shared" si="8"/>
        <v>0</v>
      </c>
      <c r="M13" s="113">
        <f t="shared" si="8"/>
        <v>0</v>
      </c>
      <c r="N13" s="113">
        <f t="shared" si="8"/>
        <v>0</v>
      </c>
      <c r="O13" s="113">
        <f t="shared" si="8"/>
        <v>0</v>
      </c>
      <c r="P13" s="113">
        <f t="shared" si="8"/>
        <v>0</v>
      </c>
      <c r="Q13" s="7"/>
    </row>
    <row r="14" spans="1:17" ht="27.75" customHeight="1" x14ac:dyDescent="0.2">
      <c r="A14" s="160" t="str">
        <f>'Приложение 1'!A14:B14</f>
        <v>Всего по городу Обь</v>
      </c>
      <c r="B14" s="161"/>
      <c r="C14" s="37">
        <f>C13</f>
        <v>2983.66</v>
      </c>
      <c r="D14" s="37">
        <f>D13</f>
        <v>101891989</v>
      </c>
      <c r="E14" s="36">
        <f t="shared" ref="E14" si="9">E13</f>
        <v>0</v>
      </c>
      <c r="F14" s="36">
        <f t="shared" ref="F14" si="10">F13</f>
        <v>0</v>
      </c>
      <c r="G14" s="36">
        <f t="shared" ref="G14" si="11">G13</f>
        <v>0</v>
      </c>
      <c r="H14" s="37">
        <f>H12</f>
        <v>2983.66</v>
      </c>
      <c r="I14" s="37">
        <f>I12</f>
        <v>101891989</v>
      </c>
      <c r="J14" s="115">
        <f t="shared" si="5"/>
        <v>34150</v>
      </c>
      <c r="K14" s="113">
        <f t="shared" si="8"/>
        <v>0</v>
      </c>
      <c r="L14" s="113">
        <f t="shared" si="8"/>
        <v>0</v>
      </c>
      <c r="M14" s="113">
        <f t="shared" si="8"/>
        <v>0</v>
      </c>
      <c r="N14" s="113">
        <f t="shared" si="8"/>
        <v>0</v>
      </c>
      <c r="O14" s="113">
        <f t="shared" si="8"/>
        <v>0</v>
      </c>
      <c r="P14" s="113">
        <f t="shared" si="8"/>
        <v>0</v>
      </c>
      <c r="Q14" s="7"/>
    </row>
    <row r="15" spans="1:17" ht="27.75" customHeight="1" x14ac:dyDescent="0.2">
      <c r="A15" s="38">
        <f>'Приложение 1'!A15</f>
        <v>1</v>
      </c>
      <c r="B15" s="38" t="str">
        <f>'Приложение 1'!B15</f>
        <v>город Обь улица Садовая дом 24</v>
      </c>
      <c r="C15" s="37">
        <f>'Приложение 1'!M15</f>
        <v>302.2</v>
      </c>
      <c r="D15" s="37">
        <f>'Приложение 1'!P15</f>
        <v>10320130</v>
      </c>
      <c r="E15" s="35">
        <f>E12</f>
        <v>0</v>
      </c>
      <c r="F15" s="35">
        <f>F12</f>
        <v>0</v>
      </c>
      <c r="G15" s="35">
        <f>G12</f>
        <v>0</v>
      </c>
      <c r="H15" s="37">
        <f>C15</f>
        <v>302.2</v>
      </c>
      <c r="I15" s="37">
        <f>D15</f>
        <v>10320130</v>
      </c>
      <c r="J15" s="115">
        <f t="shared" si="5"/>
        <v>34150</v>
      </c>
      <c r="K15" s="113">
        <f t="shared" ref="K15:P15" si="12">K14</f>
        <v>0</v>
      </c>
      <c r="L15" s="113">
        <f t="shared" si="12"/>
        <v>0</v>
      </c>
      <c r="M15" s="113">
        <f t="shared" si="12"/>
        <v>0</v>
      </c>
      <c r="N15" s="113">
        <f t="shared" si="12"/>
        <v>0</v>
      </c>
      <c r="O15" s="113">
        <f t="shared" si="12"/>
        <v>0</v>
      </c>
      <c r="P15" s="113">
        <f t="shared" si="12"/>
        <v>0</v>
      </c>
      <c r="Q15" s="7"/>
    </row>
    <row r="16" spans="1:17" ht="27.75" customHeight="1" x14ac:dyDescent="0.2">
      <c r="A16" s="38">
        <f>'Приложение 1'!A16</f>
        <v>2</v>
      </c>
      <c r="B16" s="38" t="str">
        <f>'Приложение 1'!B16</f>
        <v>город Обь улица Садовая дом 26</v>
      </c>
      <c r="C16" s="37">
        <f>'Приложение 1'!M16</f>
        <v>337.1</v>
      </c>
      <c r="D16" s="37">
        <f>'Приложение 1'!P16</f>
        <v>11511965</v>
      </c>
      <c r="E16" s="35">
        <f t="shared" si="2"/>
        <v>0</v>
      </c>
      <c r="F16" s="35">
        <f t="shared" si="3"/>
        <v>0</v>
      </c>
      <c r="G16" s="35">
        <f t="shared" si="4"/>
        <v>0</v>
      </c>
      <c r="H16" s="37">
        <f t="shared" ref="H16:H24" si="13">C16</f>
        <v>337.1</v>
      </c>
      <c r="I16" s="37">
        <f t="shared" ref="I16:I24" si="14">D16</f>
        <v>11511965</v>
      </c>
      <c r="J16" s="115">
        <f t="shared" si="5"/>
        <v>34150</v>
      </c>
      <c r="K16" s="113">
        <f t="shared" ref="K16:P16" si="15">K15</f>
        <v>0</v>
      </c>
      <c r="L16" s="113">
        <f t="shared" si="15"/>
        <v>0</v>
      </c>
      <c r="M16" s="113">
        <f t="shared" si="15"/>
        <v>0</v>
      </c>
      <c r="N16" s="113">
        <f t="shared" si="15"/>
        <v>0</v>
      </c>
      <c r="O16" s="113">
        <f t="shared" si="15"/>
        <v>0</v>
      </c>
      <c r="P16" s="113">
        <f t="shared" si="15"/>
        <v>0</v>
      </c>
      <c r="Q16" s="7"/>
    </row>
    <row r="17" spans="1:17" ht="27.75" customHeight="1" x14ac:dyDescent="0.2">
      <c r="A17" s="38">
        <f>'Приложение 1'!A17</f>
        <v>3</v>
      </c>
      <c r="B17" s="38" t="str">
        <f>'Приложение 1'!B17</f>
        <v>город Обь улица Садовая дом 30</v>
      </c>
      <c r="C17" s="37">
        <f>'Приложение 1'!M17</f>
        <v>320.7</v>
      </c>
      <c r="D17" s="37">
        <f>'Приложение 1'!P17</f>
        <v>10951905</v>
      </c>
      <c r="E17" s="35">
        <f t="shared" si="2"/>
        <v>0</v>
      </c>
      <c r="F17" s="35">
        <f t="shared" si="3"/>
        <v>0</v>
      </c>
      <c r="G17" s="35">
        <f t="shared" si="4"/>
        <v>0</v>
      </c>
      <c r="H17" s="37">
        <f t="shared" si="13"/>
        <v>320.7</v>
      </c>
      <c r="I17" s="37">
        <f t="shared" si="14"/>
        <v>10951905</v>
      </c>
      <c r="J17" s="115">
        <f t="shared" si="5"/>
        <v>34150</v>
      </c>
      <c r="K17" s="113">
        <f t="shared" ref="K17:P17" si="16">K16</f>
        <v>0</v>
      </c>
      <c r="L17" s="113">
        <f t="shared" si="16"/>
        <v>0</v>
      </c>
      <c r="M17" s="113">
        <f t="shared" si="16"/>
        <v>0</v>
      </c>
      <c r="N17" s="113">
        <f t="shared" si="16"/>
        <v>0</v>
      </c>
      <c r="O17" s="113">
        <f t="shared" si="16"/>
        <v>0</v>
      </c>
      <c r="P17" s="113">
        <f t="shared" si="16"/>
        <v>0</v>
      </c>
      <c r="Q17" s="7"/>
    </row>
    <row r="18" spans="1:17" ht="27.75" customHeight="1" x14ac:dyDescent="0.2">
      <c r="A18" s="38">
        <f>'Приложение 1'!A18</f>
        <v>4</v>
      </c>
      <c r="B18" s="38" t="str">
        <f>'Приложение 1'!B18</f>
        <v>город Обь улица Садовая дом 21</v>
      </c>
      <c r="C18" s="37">
        <f>'Приложение 1'!M18</f>
        <v>305.2</v>
      </c>
      <c r="D18" s="37">
        <f>'Приложение 1'!P18</f>
        <v>10422580</v>
      </c>
      <c r="E18" s="35">
        <f t="shared" si="2"/>
        <v>0</v>
      </c>
      <c r="F18" s="35">
        <f t="shared" si="3"/>
        <v>0</v>
      </c>
      <c r="G18" s="35">
        <f t="shared" si="4"/>
        <v>0</v>
      </c>
      <c r="H18" s="37">
        <f t="shared" si="13"/>
        <v>305.2</v>
      </c>
      <c r="I18" s="37">
        <f t="shared" si="14"/>
        <v>10422580</v>
      </c>
      <c r="J18" s="115">
        <f t="shared" si="5"/>
        <v>34150</v>
      </c>
      <c r="K18" s="113">
        <f t="shared" ref="K18:P18" si="17">K17</f>
        <v>0</v>
      </c>
      <c r="L18" s="113">
        <f t="shared" si="17"/>
        <v>0</v>
      </c>
      <c r="M18" s="113">
        <f t="shared" si="17"/>
        <v>0</v>
      </c>
      <c r="N18" s="113">
        <f t="shared" si="17"/>
        <v>0</v>
      </c>
      <c r="O18" s="113">
        <f t="shared" si="17"/>
        <v>0</v>
      </c>
      <c r="P18" s="113">
        <f t="shared" si="17"/>
        <v>0</v>
      </c>
      <c r="Q18" s="7"/>
    </row>
    <row r="19" spans="1:17" ht="27.75" customHeight="1" x14ac:dyDescent="0.2">
      <c r="A19" s="38">
        <f>'Приложение 1'!A19</f>
        <v>5</v>
      </c>
      <c r="B19" s="38" t="str">
        <f>'Приложение 1'!B19</f>
        <v>город Обь улица Чехова дом 52</v>
      </c>
      <c r="C19" s="37">
        <f>'Приложение 1'!M19</f>
        <v>352.96</v>
      </c>
      <c r="D19" s="37">
        <f>'Приложение 1'!P19</f>
        <v>12053584</v>
      </c>
      <c r="E19" s="35">
        <f t="shared" si="2"/>
        <v>0</v>
      </c>
      <c r="F19" s="35">
        <f t="shared" si="3"/>
        <v>0</v>
      </c>
      <c r="G19" s="35">
        <f t="shared" si="4"/>
        <v>0</v>
      </c>
      <c r="H19" s="37">
        <f t="shared" si="13"/>
        <v>352.96</v>
      </c>
      <c r="I19" s="37">
        <f t="shared" si="14"/>
        <v>12053584</v>
      </c>
      <c r="J19" s="115">
        <f t="shared" si="5"/>
        <v>34150</v>
      </c>
      <c r="K19" s="113">
        <f t="shared" ref="K19:P19" si="18">K18</f>
        <v>0</v>
      </c>
      <c r="L19" s="113">
        <f t="shared" si="18"/>
        <v>0</v>
      </c>
      <c r="M19" s="113">
        <f t="shared" si="18"/>
        <v>0</v>
      </c>
      <c r="N19" s="113">
        <f t="shared" si="18"/>
        <v>0</v>
      </c>
      <c r="O19" s="113">
        <f t="shared" si="18"/>
        <v>0</v>
      </c>
      <c r="P19" s="113">
        <f t="shared" si="18"/>
        <v>0</v>
      </c>
      <c r="Q19" s="7"/>
    </row>
    <row r="20" spans="1:17" ht="27.75" customHeight="1" x14ac:dyDescent="0.2">
      <c r="A20" s="38">
        <f>'Приложение 1'!A20</f>
        <v>6</v>
      </c>
      <c r="B20" s="38" t="str">
        <f>'Приложение 1'!B20</f>
        <v>город Обь улица Горького дом 40</v>
      </c>
      <c r="C20" s="37">
        <f>'Приложение 1'!M20</f>
        <v>276.3</v>
      </c>
      <c r="D20" s="37">
        <f>'Приложение 1'!P20</f>
        <v>9435645</v>
      </c>
      <c r="E20" s="35">
        <f t="shared" si="2"/>
        <v>0</v>
      </c>
      <c r="F20" s="35">
        <f t="shared" si="3"/>
        <v>0</v>
      </c>
      <c r="G20" s="35">
        <f t="shared" si="4"/>
        <v>0</v>
      </c>
      <c r="H20" s="37">
        <f t="shared" si="13"/>
        <v>276.3</v>
      </c>
      <c r="I20" s="37">
        <f t="shared" si="14"/>
        <v>9435645</v>
      </c>
      <c r="J20" s="115">
        <f t="shared" si="5"/>
        <v>34150</v>
      </c>
      <c r="K20" s="113">
        <f t="shared" ref="K20:P20" si="19">K19</f>
        <v>0</v>
      </c>
      <c r="L20" s="113">
        <f t="shared" si="19"/>
        <v>0</v>
      </c>
      <c r="M20" s="113">
        <f t="shared" si="19"/>
        <v>0</v>
      </c>
      <c r="N20" s="113">
        <f t="shared" si="19"/>
        <v>0</v>
      </c>
      <c r="O20" s="113">
        <f t="shared" si="19"/>
        <v>0</v>
      </c>
      <c r="P20" s="113">
        <f t="shared" si="19"/>
        <v>0</v>
      </c>
      <c r="Q20" s="7"/>
    </row>
    <row r="21" spans="1:17" ht="27.75" customHeight="1" x14ac:dyDescent="0.2">
      <c r="A21" s="38">
        <f>'Приложение 1'!A21</f>
        <v>7</v>
      </c>
      <c r="B21" s="38" t="str">
        <f>'Приложение 1'!B21</f>
        <v>город Обь улица Горького дом 57</v>
      </c>
      <c r="C21" s="37">
        <f>'Приложение 1'!M21</f>
        <v>101.6</v>
      </c>
      <c r="D21" s="37">
        <f>'Приложение 1'!P21</f>
        <v>3469640</v>
      </c>
      <c r="E21" s="35">
        <f t="shared" si="2"/>
        <v>0</v>
      </c>
      <c r="F21" s="35">
        <f t="shared" si="3"/>
        <v>0</v>
      </c>
      <c r="G21" s="35">
        <f t="shared" si="4"/>
        <v>0</v>
      </c>
      <c r="H21" s="37">
        <f t="shared" si="13"/>
        <v>101.6</v>
      </c>
      <c r="I21" s="37">
        <f t="shared" si="14"/>
        <v>3469640</v>
      </c>
      <c r="J21" s="115">
        <f t="shared" si="5"/>
        <v>34150</v>
      </c>
      <c r="K21" s="113">
        <f t="shared" ref="K21:P21" si="20">K20</f>
        <v>0</v>
      </c>
      <c r="L21" s="113">
        <f t="shared" si="20"/>
        <v>0</v>
      </c>
      <c r="M21" s="113">
        <f t="shared" si="20"/>
        <v>0</v>
      </c>
      <c r="N21" s="113">
        <f t="shared" si="20"/>
        <v>0</v>
      </c>
      <c r="O21" s="113">
        <f t="shared" si="20"/>
        <v>0</v>
      </c>
      <c r="P21" s="113">
        <f t="shared" si="20"/>
        <v>0</v>
      </c>
      <c r="Q21" s="7"/>
    </row>
    <row r="22" spans="1:17" ht="27.75" customHeight="1" x14ac:dyDescent="0.2">
      <c r="A22" s="38">
        <f>'Приложение 1'!A22</f>
        <v>8</v>
      </c>
      <c r="B22" s="38" t="str">
        <f>'Приложение 1'!B22</f>
        <v>город Обь улица Горького дом 59</v>
      </c>
      <c r="C22" s="37">
        <f>'Приложение 1'!M22</f>
        <v>393.4</v>
      </c>
      <c r="D22" s="37">
        <f>'Приложение 1'!P22</f>
        <v>13434610</v>
      </c>
      <c r="E22" s="35">
        <f t="shared" si="2"/>
        <v>0</v>
      </c>
      <c r="F22" s="35">
        <f t="shared" si="3"/>
        <v>0</v>
      </c>
      <c r="G22" s="35">
        <f t="shared" si="4"/>
        <v>0</v>
      </c>
      <c r="H22" s="37">
        <f t="shared" si="13"/>
        <v>393.4</v>
      </c>
      <c r="I22" s="37">
        <f t="shared" si="14"/>
        <v>13434610</v>
      </c>
      <c r="J22" s="115">
        <f t="shared" si="5"/>
        <v>34150</v>
      </c>
      <c r="K22" s="113">
        <f t="shared" ref="K22:P22" si="21">K21</f>
        <v>0</v>
      </c>
      <c r="L22" s="113">
        <f t="shared" si="21"/>
        <v>0</v>
      </c>
      <c r="M22" s="113">
        <f t="shared" si="21"/>
        <v>0</v>
      </c>
      <c r="N22" s="113">
        <f t="shared" si="21"/>
        <v>0</v>
      </c>
      <c r="O22" s="113">
        <f t="shared" si="21"/>
        <v>0</v>
      </c>
      <c r="P22" s="113">
        <f t="shared" si="21"/>
        <v>0</v>
      </c>
      <c r="Q22" s="7"/>
    </row>
    <row r="23" spans="1:17" ht="27.75" customHeight="1" x14ac:dyDescent="0.2">
      <c r="A23" s="38">
        <f>'Приложение 1'!A23</f>
        <v>9</v>
      </c>
      <c r="B23" s="38" t="str">
        <f>'Приложение 1'!B23</f>
        <v>город Обь улица Калинина дом 68</v>
      </c>
      <c r="C23" s="37">
        <f>'Приложение 1'!M23</f>
        <v>285.8</v>
      </c>
      <c r="D23" s="37">
        <f>'Приложение 1'!P23</f>
        <v>9760070</v>
      </c>
      <c r="E23" s="35">
        <f t="shared" si="2"/>
        <v>0</v>
      </c>
      <c r="F23" s="35">
        <f t="shared" si="3"/>
        <v>0</v>
      </c>
      <c r="G23" s="35">
        <f t="shared" si="4"/>
        <v>0</v>
      </c>
      <c r="H23" s="37">
        <f t="shared" si="13"/>
        <v>285.8</v>
      </c>
      <c r="I23" s="37">
        <f t="shared" si="14"/>
        <v>9760070</v>
      </c>
      <c r="J23" s="115">
        <f t="shared" si="5"/>
        <v>34150</v>
      </c>
      <c r="K23" s="113">
        <f t="shared" ref="K23:P23" si="22">K22</f>
        <v>0</v>
      </c>
      <c r="L23" s="113">
        <f t="shared" si="22"/>
        <v>0</v>
      </c>
      <c r="M23" s="113">
        <f t="shared" si="22"/>
        <v>0</v>
      </c>
      <c r="N23" s="113">
        <f t="shared" si="22"/>
        <v>0</v>
      </c>
      <c r="O23" s="113">
        <f t="shared" si="22"/>
        <v>0</v>
      </c>
      <c r="P23" s="113">
        <f t="shared" si="22"/>
        <v>0</v>
      </c>
      <c r="Q23" s="7"/>
    </row>
    <row r="24" spans="1:17" ht="27.75" customHeight="1" x14ac:dyDescent="0.2">
      <c r="A24" s="38">
        <f>'Приложение 1'!A24</f>
        <v>10</v>
      </c>
      <c r="B24" s="38" t="str">
        <f>'Приложение 1'!B24</f>
        <v>город Обь улица Калинина дом 70</v>
      </c>
      <c r="C24" s="37">
        <f>'Приложение 1'!M24</f>
        <v>308.39999999999998</v>
      </c>
      <c r="D24" s="37">
        <f>'Приложение 1'!P24</f>
        <v>10531860</v>
      </c>
      <c r="E24" s="35">
        <f t="shared" si="2"/>
        <v>0</v>
      </c>
      <c r="F24" s="35">
        <f t="shared" si="3"/>
        <v>0</v>
      </c>
      <c r="G24" s="35">
        <f t="shared" si="4"/>
        <v>0</v>
      </c>
      <c r="H24" s="37">
        <f t="shared" si="13"/>
        <v>308.39999999999998</v>
      </c>
      <c r="I24" s="37">
        <f t="shared" si="14"/>
        <v>10531860</v>
      </c>
      <c r="J24" s="115">
        <f t="shared" si="5"/>
        <v>34150</v>
      </c>
      <c r="K24" s="113">
        <f t="shared" ref="K24:P24" si="23">K23</f>
        <v>0</v>
      </c>
      <c r="L24" s="113">
        <f t="shared" si="23"/>
        <v>0</v>
      </c>
      <c r="M24" s="113">
        <f t="shared" si="23"/>
        <v>0</v>
      </c>
      <c r="N24" s="113">
        <f t="shared" si="23"/>
        <v>0</v>
      </c>
      <c r="O24" s="113">
        <f t="shared" si="23"/>
        <v>0</v>
      </c>
      <c r="P24" s="113">
        <f t="shared" si="23"/>
        <v>0</v>
      </c>
      <c r="Q24" s="7"/>
    </row>
    <row r="25" spans="1:17" ht="27.75" customHeight="1" x14ac:dyDescent="0.2">
      <c r="A25" s="162" t="str">
        <f>'Приложение 1'!A25</f>
        <v xml:space="preserve">Всего по этапу 2013 года,   без  финансовой поддержки Фонда </v>
      </c>
      <c r="B25" s="163"/>
      <c r="C25" s="35">
        <v>0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115"/>
      <c r="K25" s="113">
        <f t="shared" ref="K25:P25" si="24">K24</f>
        <v>0</v>
      </c>
      <c r="L25" s="113">
        <f t="shared" si="24"/>
        <v>0</v>
      </c>
      <c r="M25" s="113">
        <f t="shared" si="24"/>
        <v>0</v>
      </c>
      <c r="N25" s="113">
        <f t="shared" si="24"/>
        <v>0</v>
      </c>
      <c r="O25" s="113">
        <f t="shared" si="24"/>
        <v>0</v>
      </c>
      <c r="P25" s="113">
        <f t="shared" si="24"/>
        <v>0</v>
      </c>
      <c r="Q25" s="7"/>
    </row>
    <row r="26" spans="1:17" ht="19.5" customHeight="1" x14ac:dyDescent="0.2">
      <c r="A26" s="172" t="str">
        <f>'Приложение 1'!A26</f>
        <v>Всего  по этапу 2014 года , в т.ч.:</v>
      </c>
      <c r="B26" s="173"/>
      <c r="C26" s="1">
        <f>'Приложение 1'!M26</f>
        <v>1823.8</v>
      </c>
      <c r="D26" s="1">
        <f>'Приложение 1'!P26</f>
        <v>65806417.600000001</v>
      </c>
      <c r="E26" s="2">
        <v>0</v>
      </c>
      <c r="F26" s="2">
        <v>0</v>
      </c>
      <c r="G26" s="2">
        <v>0</v>
      </c>
      <c r="H26" s="1">
        <f>C26</f>
        <v>1823.8</v>
      </c>
      <c r="I26" s="1">
        <f>D26</f>
        <v>65806417.600000001</v>
      </c>
      <c r="J26" s="115"/>
      <c r="K26" s="113">
        <f t="shared" ref="K26:P26" si="25">K25</f>
        <v>0</v>
      </c>
      <c r="L26" s="113">
        <f t="shared" si="25"/>
        <v>0</v>
      </c>
      <c r="M26" s="113">
        <f t="shared" si="25"/>
        <v>0</v>
      </c>
      <c r="N26" s="113">
        <f t="shared" si="25"/>
        <v>0</v>
      </c>
      <c r="O26" s="113">
        <f t="shared" si="25"/>
        <v>0</v>
      </c>
      <c r="P26" s="113">
        <f t="shared" si="25"/>
        <v>0</v>
      </c>
      <c r="Q26" s="7"/>
    </row>
    <row r="27" spans="1:17" ht="27.75" customHeight="1" x14ac:dyDescent="0.2">
      <c r="A27" s="158" t="s">
        <v>112</v>
      </c>
      <c r="B27" s="158"/>
      <c r="C27" s="10">
        <v>0</v>
      </c>
      <c r="D27" s="10">
        <v>0</v>
      </c>
      <c r="E27" s="2">
        <v>0</v>
      </c>
      <c r="F27" s="2">
        <v>0</v>
      </c>
      <c r="G27" s="2">
        <v>0</v>
      </c>
      <c r="H27" s="10">
        <v>0</v>
      </c>
      <c r="I27" s="10">
        <v>0</v>
      </c>
      <c r="J27" s="115"/>
      <c r="K27" s="113">
        <f t="shared" ref="K27:P27" si="26">K26</f>
        <v>0</v>
      </c>
      <c r="L27" s="113">
        <f t="shared" si="26"/>
        <v>0</v>
      </c>
      <c r="M27" s="113">
        <f t="shared" si="26"/>
        <v>0</v>
      </c>
      <c r="N27" s="113">
        <f t="shared" si="26"/>
        <v>0</v>
      </c>
      <c r="O27" s="113">
        <f t="shared" si="26"/>
        <v>0</v>
      </c>
      <c r="P27" s="113">
        <f t="shared" si="26"/>
        <v>0</v>
      </c>
      <c r="Q27" s="7"/>
    </row>
    <row r="28" spans="1:17" ht="15.75" customHeight="1" x14ac:dyDescent="0.2">
      <c r="A28" s="154" t="str">
        <f>'Приложение 1'!A28:B28</f>
        <v>Итого по городу Обь</v>
      </c>
      <c r="B28" s="155"/>
      <c r="C28" s="1">
        <f t="shared" ref="C28:P41" si="27">C26</f>
        <v>1823.8</v>
      </c>
      <c r="D28" s="1">
        <f t="shared" si="27"/>
        <v>65806417.600000001</v>
      </c>
      <c r="E28" s="2">
        <f t="shared" si="27"/>
        <v>0</v>
      </c>
      <c r="F28" s="2">
        <f t="shared" si="27"/>
        <v>0</v>
      </c>
      <c r="G28" s="2">
        <f t="shared" si="27"/>
        <v>0</v>
      </c>
      <c r="H28" s="1">
        <f t="shared" si="27"/>
        <v>1823.8</v>
      </c>
      <c r="I28" s="1">
        <f t="shared" si="27"/>
        <v>65806417.600000001</v>
      </c>
      <c r="J28" s="115"/>
      <c r="K28" s="113">
        <f t="shared" ref="K28:P28" si="28">K27</f>
        <v>0</v>
      </c>
      <c r="L28" s="113">
        <f t="shared" si="28"/>
        <v>0</v>
      </c>
      <c r="M28" s="113">
        <f t="shared" si="28"/>
        <v>0</v>
      </c>
      <c r="N28" s="113">
        <f t="shared" si="28"/>
        <v>0</v>
      </c>
      <c r="O28" s="113">
        <f t="shared" si="28"/>
        <v>0</v>
      </c>
      <c r="P28" s="113">
        <f t="shared" si="28"/>
        <v>0</v>
      </c>
      <c r="Q28" s="7"/>
    </row>
    <row r="29" spans="1:17" ht="14.1" customHeight="1" x14ac:dyDescent="0.2">
      <c r="A29" s="39">
        <v>1</v>
      </c>
      <c r="B29" s="26" t="str">
        <f>'Приложение 1'!B29</f>
        <v>город Обь улица Горького дом 38</v>
      </c>
      <c r="C29" s="1">
        <f>'Приложение 1'!M29</f>
        <v>326.60000000000002</v>
      </c>
      <c r="D29" s="1">
        <f>'Приложение 1'!P29</f>
        <v>11751068</v>
      </c>
      <c r="E29" s="2">
        <v>0</v>
      </c>
      <c r="F29" s="2">
        <v>0</v>
      </c>
      <c r="G29" s="2">
        <v>0</v>
      </c>
      <c r="H29" s="1">
        <f>C29</f>
        <v>326.60000000000002</v>
      </c>
      <c r="I29" s="1">
        <f>D29</f>
        <v>11751068</v>
      </c>
      <c r="J29" s="115">
        <f t="shared" si="5"/>
        <v>35980</v>
      </c>
      <c r="K29" s="113">
        <f t="shared" ref="K29:P29" si="29">K28</f>
        <v>0</v>
      </c>
      <c r="L29" s="113">
        <f t="shared" si="29"/>
        <v>0</v>
      </c>
      <c r="M29" s="113">
        <f t="shared" si="29"/>
        <v>0</v>
      </c>
      <c r="N29" s="113">
        <f t="shared" si="29"/>
        <v>0</v>
      </c>
      <c r="O29" s="113">
        <f t="shared" si="29"/>
        <v>0</v>
      </c>
      <c r="P29" s="113">
        <f t="shared" si="29"/>
        <v>0</v>
      </c>
      <c r="Q29" s="7"/>
    </row>
    <row r="30" spans="1:17" ht="17.25" customHeight="1" x14ac:dyDescent="0.2">
      <c r="A30" s="39">
        <v>2</v>
      </c>
      <c r="B30" s="26" t="str">
        <f>'Приложение 1'!B30</f>
        <v>город Обь улица Горького дом 55</v>
      </c>
      <c r="C30" s="1">
        <f>'Приложение 1'!M30</f>
        <v>102.1</v>
      </c>
      <c r="D30" s="114">
        <f>'Приложение 1'!P30</f>
        <v>3673558</v>
      </c>
      <c r="E30" s="2">
        <v>0</v>
      </c>
      <c r="F30" s="2">
        <v>0</v>
      </c>
      <c r="G30" s="2">
        <v>0</v>
      </c>
      <c r="H30" s="1">
        <f t="shared" ref="H30:H48" si="30">C30</f>
        <v>102.1</v>
      </c>
      <c r="I30" s="1">
        <f t="shared" ref="I30:I48" si="31">D30</f>
        <v>3673558</v>
      </c>
      <c r="J30" s="115">
        <f t="shared" si="5"/>
        <v>35980</v>
      </c>
      <c r="K30" s="113">
        <f t="shared" ref="K30:P30" si="32">K29</f>
        <v>0</v>
      </c>
      <c r="L30" s="113">
        <f t="shared" si="32"/>
        <v>0</v>
      </c>
      <c r="M30" s="113">
        <f t="shared" si="32"/>
        <v>0</v>
      </c>
      <c r="N30" s="113">
        <f t="shared" si="32"/>
        <v>0</v>
      </c>
      <c r="O30" s="113">
        <f t="shared" si="32"/>
        <v>0</v>
      </c>
      <c r="P30" s="113">
        <f t="shared" si="32"/>
        <v>0</v>
      </c>
      <c r="Q30" s="7"/>
    </row>
    <row r="31" spans="1:17" ht="19.5" customHeight="1" x14ac:dyDescent="0.2">
      <c r="A31" s="39">
        <v>3</v>
      </c>
      <c r="B31" s="26" t="str">
        <f>'Приложение 1'!B31</f>
        <v>город Обь улица Военный городок 17</v>
      </c>
      <c r="C31" s="1">
        <f>'Приложение 1'!M31</f>
        <v>62.5</v>
      </c>
      <c r="D31" s="114">
        <f>'Приложение 1'!P31</f>
        <v>2248750</v>
      </c>
      <c r="E31" s="2">
        <v>0</v>
      </c>
      <c r="F31" s="2">
        <v>0</v>
      </c>
      <c r="G31" s="2">
        <v>0</v>
      </c>
      <c r="H31" s="1">
        <f t="shared" si="30"/>
        <v>62.5</v>
      </c>
      <c r="I31" s="1">
        <f t="shared" si="31"/>
        <v>2248750</v>
      </c>
      <c r="J31" s="115">
        <f t="shared" si="5"/>
        <v>35980</v>
      </c>
      <c r="K31" s="113">
        <f t="shared" ref="K31:P31" si="33">K30</f>
        <v>0</v>
      </c>
      <c r="L31" s="113">
        <f t="shared" si="33"/>
        <v>0</v>
      </c>
      <c r="M31" s="113">
        <f t="shared" si="33"/>
        <v>0</v>
      </c>
      <c r="N31" s="113">
        <f t="shared" si="33"/>
        <v>0</v>
      </c>
      <c r="O31" s="113">
        <f t="shared" si="33"/>
        <v>0</v>
      </c>
      <c r="P31" s="113">
        <f t="shared" si="33"/>
        <v>0</v>
      </c>
      <c r="Q31" s="7"/>
    </row>
    <row r="32" spans="1:17" ht="21.75" customHeight="1" x14ac:dyDescent="0.2">
      <c r="A32" s="39">
        <v>4</v>
      </c>
      <c r="B32" s="26" t="str">
        <f>'Приложение 1'!B32</f>
        <v>город Обь улица Военный городок 20</v>
      </c>
      <c r="C32" s="1">
        <f>'Приложение 1'!M32</f>
        <v>67</v>
      </c>
      <c r="D32" s="114">
        <f>'Приложение 1'!P32</f>
        <v>2410660</v>
      </c>
      <c r="E32" s="2">
        <v>0</v>
      </c>
      <c r="F32" s="2">
        <v>0</v>
      </c>
      <c r="G32" s="2">
        <v>0</v>
      </c>
      <c r="H32" s="1">
        <f t="shared" si="30"/>
        <v>67</v>
      </c>
      <c r="I32" s="1">
        <f t="shared" si="31"/>
        <v>2410660</v>
      </c>
      <c r="J32" s="115">
        <f t="shared" si="5"/>
        <v>35980</v>
      </c>
      <c r="K32" s="113">
        <f t="shared" ref="K32:P32" si="34">K31</f>
        <v>0</v>
      </c>
      <c r="L32" s="113">
        <f t="shared" si="34"/>
        <v>0</v>
      </c>
      <c r="M32" s="113">
        <f t="shared" si="34"/>
        <v>0</v>
      </c>
      <c r="N32" s="113">
        <f t="shared" si="34"/>
        <v>0</v>
      </c>
      <c r="O32" s="113">
        <f t="shared" si="34"/>
        <v>0</v>
      </c>
      <c r="P32" s="113">
        <f t="shared" si="34"/>
        <v>0</v>
      </c>
      <c r="Q32" s="7"/>
    </row>
    <row r="33" spans="1:17" ht="21.75" customHeight="1" x14ac:dyDescent="0.2">
      <c r="A33" s="39">
        <v>5</v>
      </c>
      <c r="B33" s="26" t="str">
        <f>'Приложение 1'!B33</f>
        <v>город Обь улица Военный городок 28</v>
      </c>
      <c r="C33" s="1">
        <f>'Приложение 1'!M33</f>
        <v>32.4</v>
      </c>
      <c r="D33" s="114">
        <f>'Приложение 1'!P33</f>
        <v>1165752</v>
      </c>
      <c r="E33" s="2">
        <v>0</v>
      </c>
      <c r="F33" s="2">
        <v>0</v>
      </c>
      <c r="G33" s="2">
        <v>0</v>
      </c>
      <c r="H33" s="1">
        <f t="shared" si="30"/>
        <v>32.4</v>
      </c>
      <c r="I33" s="1">
        <f t="shared" si="31"/>
        <v>1165752</v>
      </c>
      <c r="J33" s="115">
        <f t="shared" si="5"/>
        <v>35980</v>
      </c>
      <c r="K33" s="113">
        <f t="shared" ref="K33:P33" si="35">K32</f>
        <v>0</v>
      </c>
      <c r="L33" s="113">
        <f t="shared" si="35"/>
        <v>0</v>
      </c>
      <c r="M33" s="113">
        <f t="shared" si="35"/>
        <v>0</v>
      </c>
      <c r="N33" s="113">
        <f t="shared" si="35"/>
        <v>0</v>
      </c>
      <c r="O33" s="113">
        <f t="shared" si="35"/>
        <v>0</v>
      </c>
      <c r="P33" s="113">
        <f t="shared" si="35"/>
        <v>0</v>
      </c>
      <c r="Q33" s="7"/>
    </row>
    <row r="34" spans="1:17" ht="14.1" customHeight="1" x14ac:dyDescent="0.2">
      <c r="A34" s="39">
        <v>6</v>
      </c>
      <c r="B34" s="26" t="str">
        <f>'Приложение 1'!B34</f>
        <v>город Обь улица Станционная  дом 7</v>
      </c>
      <c r="C34" s="1">
        <f>'Приложение 1'!M34</f>
        <v>105.8</v>
      </c>
      <c r="D34" s="114">
        <f>'Приложение 1'!P34</f>
        <v>3806684</v>
      </c>
      <c r="E34" s="2">
        <v>0</v>
      </c>
      <c r="F34" s="2">
        <v>0</v>
      </c>
      <c r="G34" s="2">
        <v>0</v>
      </c>
      <c r="H34" s="1">
        <f t="shared" si="30"/>
        <v>105.8</v>
      </c>
      <c r="I34" s="1">
        <f t="shared" si="31"/>
        <v>3806684</v>
      </c>
      <c r="J34" s="115">
        <f t="shared" si="5"/>
        <v>35980</v>
      </c>
      <c r="K34" s="113">
        <f t="shared" ref="K34:P34" si="36">K33</f>
        <v>0</v>
      </c>
      <c r="L34" s="113">
        <f t="shared" si="36"/>
        <v>0</v>
      </c>
      <c r="M34" s="113">
        <f t="shared" si="36"/>
        <v>0</v>
      </c>
      <c r="N34" s="113">
        <f t="shared" si="36"/>
        <v>0</v>
      </c>
      <c r="O34" s="113">
        <f t="shared" si="36"/>
        <v>0</v>
      </c>
      <c r="P34" s="113">
        <f t="shared" si="36"/>
        <v>0</v>
      </c>
      <c r="Q34" s="7"/>
    </row>
    <row r="35" spans="1:17" ht="14.1" customHeight="1" x14ac:dyDescent="0.2">
      <c r="A35" s="39">
        <v>7</v>
      </c>
      <c r="B35" s="26" t="str">
        <f>'Приложение 1'!B35</f>
        <v>город Обь улица Кирова дом 13</v>
      </c>
      <c r="C35" s="1">
        <f>'Приложение 1'!M35</f>
        <v>93.6</v>
      </c>
      <c r="D35" s="114">
        <f>'Приложение 1'!P35</f>
        <v>3367728</v>
      </c>
      <c r="E35" s="2">
        <v>0</v>
      </c>
      <c r="F35" s="2">
        <v>0</v>
      </c>
      <c r="G35" s="2">
        <v>0</v>
      </c>
      <c r="H35" s="1">
        <f t="shared" si="30"/>
        <v>93.6</v>
      </c>
      <c r="I35" s="1">
        <f t="shared" si="31"/>
        <v>3367728</v>
      </c>
      <c r="J35" s="115">
        <f t="shared" si="5"/>
        <v>35980</v>
      </c>
      <c r="K35" s="113">
        <f t="shared" ref="K35:P35" si="37">K34</f>
        <v>0</v>
      </c>
      <c r="L35" s="113">
        <f t="shared" si="37"/>
        <v>0</v>
      </c>
      <c r="M35" s="113">
        <f t="shared" si="37"/>
        <v>0</v>
      </c>
      <c r="N35" s="113">
        <f t="shared" si="37"/>
        <v>0</v>
      </c>
      <c r="O35" s="113">
        <f t="shared" si="37"/>
        <v>0</v>
      </c>
      <c r="P35" s="113">
        <f t="shared" si="37"/>
        <v>0</v>
      </c>
      <c r="Q35" s="7"/>
    </row>
    <row r="36" spans="1:17" ht="14.1" customHeight="1" x14ac:dyDescent="0.2">
      <c r="A36" s="39">
        <v>8</v>
      </c>
      <c r="B36" s="26" t="str">
        <f>'Приложение 1'!B36</f>
        <v>город Обь улица Кирова дом 17</v>
      </c>
      <c r="C36" s="1">
        <f>'Приложение 1'!M36</f>
        <v>93.8</v>
      </c>
      <c r="D36" s="114">
        <f>'Приложение 1'!P36</f>
        <v>3374924</v>
      </c>
      <c r="E36" s="2">
        <v>0</v>
      </c>
      <c r="F36" s="2">
        <v>0</v>
      </c>
      <c r="G36" s="2">
        <v>0</v>
      </c>
      <c r="H36" s="1">
        <f t="shared" si="30"/>
        <v>93.8</v>
      </c>
      <c r="I36" s="1">
        <f t="shared" si="31"/>
        <v>3374924</v>
      </c>
      <c r="J36" s="115">
        <f t="shared" si="5"/>
        <v>35980</v>
      </c>
      <c r="K36" s="113">
        <f t="shared" ref="K36:P36" si="38">K35</f>
        <v>0</v>
      </c>
      <c r="L36" s="113">
        <f t="shared" si="38"/>
        <v>0</v>
      </c>
      <c r="M36" s="113">
        <f t="shared" si="38"/>
        <v>0</v>
      </c>
      <c r="N36" s="113">
        <f t="shared" si="38"/>
        <v>0</v>
      </c>
      <c r="O36" s="113">
        <f t="shared" si="38"/>
        <v>0</v>
      </c>
      <c r="P36" s="113">
        <f t="shared" si="38"/>
        <v>0</v>
      </c>
      <c r="Q36" s="7"/>
    </row>
    <row r="37" spans="1:17" ht="14.1" customHeight="1" x14ac:dyDescent="0.2">
      <c r="A37" s="39">
        <v>9</v>
      </c>
      <c r="B37" s="26" t="str">
        <f>'Приложение 1'!B37</f>
        <v>город Обь улица Кирова дом 20 кв.2</v>
      </c>
      <c r="C37" s="1">
        <f>'Приложение 1'!M37</f>
        <v>48</v>
      </c>
      <c r="D37" s="114">
        <f>'Приложение 1'!P37</f>
        <v>1727040</v>
      </c>
      <c r="E37" s="2">
        <v>0</v>
      </c>
      <c r="F37" s="2">
        <v>0</v>
      </c>
      <c r="G37" s="2">
        <v>0</v>
      </c>
      <c r="H37" s="1">
        <f t="shared" si="30"/>
        <v>48</v>
      </c>
      <c r="I37" s="1">
        <f t="shared" si="31"/>
        <v>1727040</v>
      </c>
      <c r="J37" s="115">
        <f t="shared" si="5"/>
        <v>35980</v>
      </c>
      <c r="K37" s="113">
        <f t="shared" ref="K37:P37" si="39">K36</f>
        <v>0</v>
      </c>
      <c r="L37" s="113">
        <f t="shared" si="39"/>
        <v>0</v>
      </c>
      <c r="M37" s="113">
        <f t="shared" si="39"/>
        <v>0</v>
      </c>
      <c r="N37" s="113">
        <f t="shared" si="39"/>
        <v>0</v>
      </c>
      <c r="O37" s="113">
        <f t="shared" si="39"/>
        <v>0</v>
      </c>
      <c r="P37" s="113">
        <f t="shared" si="39"/>
        <v>0</v>
      </c>
      <c r="Q37" s="7"/>
    </row>
    <row r="38" spans="1:17" ht="14.1" customHeight="1" x14ac:dyDescent="0.2">
      <c r="A38" s="39">
        <v>10</v>
      </c>
      <c r="B38" s="26" t="str">
        <f>'Приложение 1'!B38</f>
        <v>город Обь улица Кирова дом 25</v>
      </c>
      <c r="C38" s="1">
        <f>'Приложение 1'!M38</f>
        <v>111.3</v>
      </c>
      <c r="D38" s="114">
        <f>'Приложение 1'!P38</f>
        <v>4004574</v>
      </c>
      <c r="E38" s="2">
        <v>0</v>
      </c>
      <c r="F38" s="2">
        <v>0</v>
      </c>
      <c r="G38" s="2">
        <v>0</v>
      </c>
      <c r="H38" s="1">
        <f t="shared" si="30"/>
        <v>111.3</v>
      </c>
      <c r="I38" s="1">
        <f t="shared" si="31"/>
        <v>4004574</v>
      </c>
      <c r="J38" s="115">
        <f t="shared" si="5"/>
        <v>35980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7"/>
    </row>
    <row r="39" spans="1:17" ht="14.1" customHeight="1" x14ac:dyDescent="0.2">
      <c r="A39" s="39">
        <v>11</v>
      </c>
      <c r="B39" s="26" t="str">
        <f>'Приложение 1'!B39</f>
        <v>город Обь улица Кирова дом 27</v>
      </c>
      <c r="C39" s="1">
        <f>'Приложение 1'!M39</f>
        <v>111.3</v>
      </c>
      <c r="D39" s="114">
        <f>'Приложение 1'!P39</f>
        <v>4004574</v>
      </c>
      <c r="E39" s="2">
        <v>0</v>
      </c>
      <c r="F39" s="2">
        <v>0</v>
      </c>
      <c r="G39" s="2">
        <v>0</v>
      </c>
      <c r="H39" s="1">
        <f t="shared" si="30"/>
        <v>111.3</v>
      </c>
      <c r="I39" s="1">
        <f t="shared" si="31"/>
        <v>4004574</v>
      </c>
      <c r="J39" s="115">
        <f t="shared" si="5"/>
        <v>35980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7"/>
    </row>
    <row r="40" spans="1:17" ht="14.1" customHeight="1" x14ac:dyDescent="0.2">
      <c r="A40" s="39">
        <v>12</v>
      </c>
      <c r="B40" s="26" t="str">
        <f>'Приложение 1'!B40</f>
        <v>город Обь улица Кирова дом 28</v>
      </c>
      <c r="C40" s="1">
        <f>'Приложение 1'!M40</f>
        <v>111.3</v>
      </c>
      <c r="D40" s="114">
        <f>'Приложение 1'!P40</f>
        <v>4004574</v>
      </c>
      <c r="E40" s="2">
        <v>0</v>
      </c>
      <c r="F40" s="2">
        <v>0</v>
      </c>
      <c r="G40" s="2">
        <v>0</v>
      </c>
      <c r="H40" s="1">
        <f t="shared" si="30"/>
        <v>111.3</v>
      </c>
      <c r="I40" s="1">
        <f t="shared" si="31"/>
        <v>4004574</v>
      </c>
      <c r="J40" s="115">
        <f t="shared" si="5"/>
        <v>35980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7"/>
    </row>
    <row r="41" spans="1:17" ht="15.75" customHeight="1" x14ac:dyDescent="0.2">
      <c r="A41" s="39">
        <v>13</v>
      </c>
      <c r="B41" s="26" t="str">
        <f>'Приложение 1'!B41</f>
        <v>город Обь улица Шевченко дом 16</v>
      </c>
      <c r="C41" s="1">
        <f>'Приложение 1'!M41</f>
        <v>93.6</v>
      </c>
      <c r="D41" s="114">
        <f>'Приложение 1'!P41</f>
        <v>3367728</v>
      </c>
      <c r="E41" s="2">
        <v>0</v>
      </c>
      <c r="F41" s="2">
        <v>0</v>
      </c>
      <c r="G41" s="2">
        <v>0</v>
      </c>
      <c r="H41" s="1">
        <f t="shared" si="30"/>
        <v>93.6</v>
      </c>
      <c r="I41" s="1">
        <f t="shared" si="31"/>
        <v>3367728</v>
      </c>
      <c r="J41" s="115">
        <f t="shared" si="5"/>
        <v>35980</v>
      </c>
      <c r="K41" s="2">
        <f t="shared" si="27"/>
        <v>0</v>
      </c>
      <c r="L41" s="2">
        <f t="shared" si="27"/>
        <v>0</v>
      </c>
      <c r="M41" s="2">
        <f t="shared" si="27"/>
        <v>0</v>
      </c>
      <c r="N41" s="2">
        <f t="shared" si="27"/>
        <v>0</v>
      </c>
      <c r="O41" s="2">
        <f t="shared" si="27"/>
        <v>0</v>
      </c>
      <c r="P41" s="2">
        <f t="shared" si="27"/>
        <v>0</v>
      </c>
      <c r="Q41" s="7"/>
    </row>
    <row r="42" spans="1:17" ht="16.5" customHeight="1" x14ac:dyDescent="0.2">
      <c r="A42" s="39">
        <v>14</v>
      </c>
      <c r="B42" s="26" t="str">
        <f>'Приложение 1'!B42</f>
        <v>город Обь улица Шевченко дом 18</v>
      </c>
      <c r="C42" s="1">
        <f>'Приложение 1'!M42</f>
        <v>92.9</v>
      </c>
      <c r="D42" s="114">
        <f>'Приложение 1'!P42</f>
        <v>3342542</v>
      </c>
      <c r="E42" s="2">
        <v>0</v>
      </c>
      <c r="F42" s="2">
        <v>0</v>
      </c>
      <c r="G42" s="2">
        <v>0</v>
      </c>
      <c r="H42" s="1">
        <f t="shared" si="30"/>
        <v>92.9</v>
      </c>
      <c r="I42" s="1">
        <f t="shared" si="31"/>
        <v>3342542</v>
      </c>
      <c r="J42" s="115">
        <f t="shared" si="5"/>
        <v>35980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7"/>
    </row>
    <row r="43" spans="1:17" ht="18.75" customHeight="1" x14ac:dyDescent="0.2">
      <c r="A43" s="39">
        <v>15</v>
      </c>
      <c r="B43" s="26" t="str">
        <f>'Приложение 1'!B43</f>
        <v>город Обь улица Строительная дом 33</v>
      </c>
      <c r="C43" s="1">
        <f>'Приложение 1'!M43</f>
        <v>92.8</v>
      </c>
      <c r="D43" s="114">
        <f>'Приложение 1'!P43</f>
        <v>3338944</v>
      </c>
      <c r="E43" s="2">
        <v>0</v>
      </c>
      <c r="F43" s="2">
        <v>0</v>
      </c>
      <c r="G43" s="2">
        <v>0</v>
      </c>
      <c r="H43" s="1">
        <f t="shared" si="30"/>
        <v>92.8</v>
      </c>
      <c r="I43" s="1">
        <f t="shared" si="31"/>
        <v>3338944</v>
      </c>
      <c r="J43" s="115">
        <f t="shared" si="5"/>
        <v>35980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7"/>
    </row>
    <row r="44" spans="1:17" ht="18.75" customHeight="1" x14ac:dyDescent="0.2">
      <c r="A44" s="39">
        <v>16</v>
      </c>
      <c r="B44" s="112" t="str">
        <f>'Приложение 1'!B44</f>
        <v>город Обь улица Строительная дом 37</v>
      </c>
      <c r="C44" s="1">
        <f>'Приложение 1'!M44</f>
        <v>94</v>
      </c>
      <c r="D44" s="114">
        <f>'Приложение 1'!P44</f>
        <v>3382120</v>
      </c>
      <c r="E44" s="2">
        <v>0</v>
      </c>
      <c r="F44" s="2">
        <v>0</v>
      </c>
      <c r="G44" s="2">
        <v>0</v>
      </c>
      <c r="H44" s="1">
        <f t="shared" si="30"/>
        <v>94</v>
      </c>
      <c r="I44" s="1">
        <f t="shared" si="31"/>
        <v>3382120</v>
      </c>
      <c r="J44" s="115">
        <f t="shared" si="5"/>
        <v>35980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7"/>
    </row>
    <row r="45" spans="1:17" ht="18.75" customHeight="1" x14ac:dyDescent="0.2">
      <c r="A45" s="39">
        <v>17</v>
      </c>
      <c r="B45" s="112" t="str">
        <f>'Приложение 1'!B45</f>
        <v>город Обь улица 2-я Северная дом 74</v>
      </c>
      <c r="C45" s="111">
        <f>'Приложение 1'!M45</f>
        <v>87.4</v>
      </c>
      <c r="D45" s="114">
        <f>'Приложение 1'!P45</f>
        <v>3232663.8</v>
      </c>
      <c r="E45" s="110">
        <v>0</v>
      </c>
      <c r="F45" s="110">
        <v>0</v>
      </c>
      <c r="G45" s="110">
        <v>0</v>
      </c>
      <c r="H45" s="111">
        <f t="shared" si="30"/>
        <v>87.4</v>
      </c>
      <c r="I45" s="111">
        <f t="shared" si="31"/>
        <v>3232663.8</v>
      </c>
      <c r="J45" s="115">
        <f t="shared" si="5"/>
        <v>36987</v>
      </c>
      <c r="K45" s="110">
        <v>0</v>
      </c>
      <c r="L45" s="110">
        <v>0</v>
      </c>
      <c r="M45" s="110">
        <v>0</v>
      </c>
      <c r="N45" s="110">
        <v>0</v>
      </c>
      <c r="O45" s="110">
        <v>0</v>
      </c>
      <c r="P45" s="110">
        <v>0</v>
      </c>
      <c r="Q45" s="7"/>
    </row>
    <row r="46" spans="1:17" ht="18.75" customHeight="1" x14ac:dyDescent="0.2">
      <c r="A46" s="39">
        <v>18</v>
      </c>
      <c r="B46" s="112" t="str">
        <f>'Приложение 1'!B46</f>
        <v>город Обь улица Станционная дом 2</v>
      </c>
      <c r="C46" s="111">
        <f>'Приложение 1'!M46</f>
        <v>29.1</v>
      </c>
      <c r="D46" s="114">
        <f>'Приложение 1'!P46</f>
        <v>1076321.7</v>
      </c>
      <c r="E46" s="110">
        <v>0</v>
      </c>
      <c r="F46" s="110">
        <v>0</v>
      </c>
      <c r="G46" s="110">
        <v>0</v>
      </c>
      <c r="H46" s="111">
        <f t="shared" si="30"/>
        <v>29.1</v>
      </c>
      <c r="I46" s="111">
        <f t="shared" si="31"/>
        <v>1076321.7</v>
      </c>
      <c r="J46" s="115">
        <f t="shared" si="5"/>
        <v>36987</v>
      </c>
      <c r="K46" s="110">
        <v>0</v>
      </c>
      <c r="L46" s="110">
        <v>0</v>
      </c>
      <c r="M46" s="110">
        <v>0</v>
      </c>
      <c r="N46" s="110">
        <v>0</v>
      </c>
      <c r="O46" s="110">
        <v>0</v>
      </c>
      <c r="P46" s="110">
        <v>0</v>
      </c>
      <c r="Q46" s="7"/>
    </row>
    <row r="47" spans="1:17" ht="18.75" customHeight="1" x14ac:dyDescent="0.2">
      <c r="A47" s="39">
        <v>19</v>
      </c>
      <c r="B47" s="112" t="str">
        <f>'Приложение 1'!B47</f>
        <v>город Обь улица О.Кошевого дом 35</v>
      </c>
      <c r="C47" s="111">
        <f>'Приложение 1'!M47</f>
        <v>29</v>
      </c>
      <c r="D47" s="114">
        <f>'Приложение 1'!P47</f>
        <v>1072623</v>
      </c>
      <c r="E47" s="110">
        <v>0</v>
      </c>
      <c r="F47" s="110">
        <v>0</v>
      </c>
      <c r="G47" s="110">
        <v>0</v>
      </c>
      <c r="H47" s="111">
        <f t="shared" si="30"/>
        <v>29</v>
      </c>
      <c r="I47" s="111">
        <f t="shared" si="31"/>
        <v>1072623</v>
      </c>
      <c r="J47" s="115">
        <f t="shared" si="5"/>
        <v>36987</v>
      </c>
      <c r="K47" s="110">
        <v>0</v>
      </c>
      <c r="L47" s="110">
        <v>0</v>
      </c>
      <c r="M47" s="110">
        <v>0</v>
      </c>
      <c r="N47" s="110">
        <v>0</v>
      </c>
      <c r="O47" s="110">
        <v>0</v>
      </c>
      <c r="P47" s="110">
        <v>0</v>
      </c>
      <c r="Q47" s="7"/>
    </row>
    <row r="48" spans="1:17" ht="18.75" customHeight="1" x14ac:dyDescent="0.2">
      <c r="A48" s="39">
        <v>20</v>
      </c>
      <c r="B48" s="112" t="str">
        <f>'Приложение 1'!B48</f>
        <v>город Обь улица Сигнальная  дом 10</v>
      </c>
      <c r="C48" s="111">
        <f>'Приложение 1'!M48</f>
        <v>39.299999999999997</v>
      </c>
      <c r="D48" s="114">
        <f>'Приложение 1'!P48</f>
        <v>1453589.1</v>
      </c>
      <c r="E48" s="110">
        <v>0</v>
      </c>
      <c r="F48" s="110">
        <v>0</v>
      </c>
      <c r="G48" s="110">
        <v>0</v>
      </c>
      <c r="H48" s="111">
        <f t="shared" si="30"/>
        <v>39.299999999999997</v>
      </c>
      <c r="I48" s="111">
        <f t="shared" si="31"/>
        <v>1453589.1</v>
      </c>
      <c r="J48" s="115">
        <f t="shared" si="5"/>
        <v>36987</v>
      </c>
      <c r="K48" s="110">
        <v>0</v>
      </c>
      <c r="L48" s="110">
        <v>0</v>
      </c>
      <c r="M48" s="110">
        <v>0</v>
      </c>
      <c r="N48" s="110">
        <v>0</v>
      </c>
      <c r="O48" s="110">
        <v>0</v>
      </c>
      <c r="P48" s="110">
        <v>0</v>
      </c>
      <c r="Q48" s="7"/>
    </row>
    <row r="49" spans="1:17" ht="23.25" customHeight="1" x14ac:dyDescent="0.2">
      <c r="A49" s="158" t="s">
        <v>113</v>
      </c>
      <c r="B49" s="158"/>
      <c r="C49" s="1">
        <f>C28</f>
        <v>1823.8</v>
      </c>
      <c r="D49" s="1">
        <f>D28</f>
        <v>65806417.600000001</v>
      </c>
      <c r="E49" s="2">
        <v>0</v>
      </c>
      <c r="F49" s="2">
        <v>0</v>
      </c>
      <c r="G49" s="2">
        <v>0</v>
      </c>
      <c r="H49" s="1">
        <f>H28</f>
        <v>1823.8</v>
      </c>
      <c r="I49" s="1">
        <f>I28</f>
        <v>65806417.600000001</v>
      </c>
      <c r="J49" s="115">
        <f t="shared" si="5"/>
        <v>36082.04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0</v>
      </c>
      <c r="Q49" s="7"/>
    </row>
    <row r="50" spans="1:17" ht="18.75" customHeight="1" x14ac:dyDescent="0.2">
      <c r="A50" s="156" t="str">
        <f>'Приложение 1'!A50</f>
        <v>Всего  по этапу 2015 года , в т.ч.:</v>
      </c>
      <c r="B50" s="157"/>
      <c r="C50" s="1">
        <f>C52</f>
        <v>1587.4</v>
      </c>
      <c r="D50" s="1">
        <f>D52</f>
        <v>57114652</v>
      </c>
      <c r="E50" s="110">
        <v>0</v>
      </c>
      <c r="F50" s="110">
        <v>0</v>
      </c>
      <c r="G50" s="110">
        <v>0</v>
      </c>
      <c r="H50" s="1">
        <f>H52</f>
        <v>1587.4</v>
      </c>
      <c r="I50" s="1">
        <f>I52</f>
        <v>57114652</v>
      </c>
      <c r="J50" s="115">
        <f t="shared" si="5"/>
        <v>35980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7"/>
    </row>
    <row r="51" spans="1:17" ht="24.75" customHeight="1" x14ac:dyDescent="0.2">
      <c r="A51" s="154" t="str">
        <f>'Приложение 1'!A51:B51</f>
        <v>Всего по этапу 2015 года,  с финансовой поддержкой Фонда</v>
      </c>
      <c r="B51" s="155"/>
      <c r="C51" s="33">
        <f>'Приложение 1'!M51</f>
        <v>1587.4</v>
      </c>
      <c r="D51" s="33">
        <f>'Приложение 1'!P51</f>
        <v>57114652</v>
      </c>
      <c r="E51" s="2">
        <v>0</v>
      </c>
      <c r="F51" s="2">
        <v>0</v>
      </c>
      <c r="G51" s="2">
        <v>0</v>
      </c>
      <c r="H51" s="33">
        <f t="shared" ref="H51:H67" si="40">C51</f>
        <v>1587.4</v>
      </c>
      <c r="I51" s="33">
        <f t="shared" ref="I51:I67" si="41">D51</f>
        <v>57114652</v>
      </c>
      <c r="J51" s="115">
        <f t="shared" si="5"/>
        <v>35980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7"/>
    </row>
    <row r="52" spans="1:17" ht="18" customHeight="1" x14ac:dyDescent="0.2">
      <c r="A52" s="154" t="str">
        <f>'Приложение 1'!A52:B52</f>
        <v>Итого по городу Обь</v>
      </c>
      <c r="B52" s="155"/>
      <c r="C52" s="1">
        <f>'Приложение 1'!M52</f>
        <v>1587.4</v>
      </c>
      <c r="D52" s="1">
        <f>'Приложение 1'!P52</f>
        <v>57114652</v>
      </c>
      <c r="E52" s="2">
        <v>0</v>
      </c>
      <c r="F52" s="2">
        <v>0</v>
      </c>
      <c r="G52" s="2">
        <v>0</v>
      </c>
      <c r="H52" s="1">
        <f t="shared" si="40"/>
        <v>1587.4</v>
      </c>
      <c r="I52" s="1">
        <f t="shared" si="41"/>
        <v>57114652</v>
      </c>
      <c r="J52" s="115">
        <f t="shared" si="5"/>
        <v>35980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7"/>
    </row>
    <row r="53" spans="1:17" ht="14.1" customHeight="1" x14ac:dyDescent="0.2">
      <c r="A53" s="17">
        <v>1</v>
      </c>
      <c r="B53" s="8" t="str">
        <f>'Приложение 1'!B53</f>
        <v>город Обь улица 2-я Северная дом 74</v>
      </c>
      <c r="C53" s="1">
        <f>'Приложение 1'!M53</f>
        <v>113.1</v>
      </c>
      <c r="D53" s="1">
        <f>'Приложение 1'!P53</f>
        <v>4069338</v>
      </c>
      <c r="E53" s="2">
        <v>0</v>
      </c>
      <c r="F53" s="2">
        <v>0</v>
      </c>
      <c r="G53" s="2">
        <v>0</v>
      </c>
      <c r="H53" s="1">
        <f t="shared" si="40"/>
        <v>113.1</v>
      </c>
      <c r="I53" s="1">
        <f t="shared" si="41"/>
        <v>4069338</v>
      </c>
      <c r="J53" s="115">
        <f t="shared" si="5"/>
        <v>35980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</row>
    <row r="54" spans="1:17" ht="14.1" customHeight="1" x14ac:dyDescent="0.2">
      <c r="A54" s="17">
        <v>2</v>
      </c>
      <c r="B54" s="8" t="str">
        <f>'Приложение 1'!B54</f>
        <v>город Обь улица Вокзальная дом 38</v>
      </c>
      <c r="C54" s="111">
        <f>'Приложение 1'!M54</f>
        <v>47.6</v>
      </c>
      <c r="D54" s="114">
        <f>'Приложение 1'!P54</f>
        <v>1712648</v>
      </c>
      <c r="E54" s="2">
        <v>0</v>
      </c>
      <c r="F54" s="2">
        <v>0</v>
      </c>
      <c r="G54" s="2">
        <v>0</v>
      </c>
      <c r="H54" s="1">
        <f t="shared" si="40"/>
        <v>47.6</v>
      </c>
      <c r="I54" s="1">
        <f t="shared" si="41"/>
        <v>1712648</v>
      </c>
      <c r="J54" s="115">
        <f t="shared" si="5"/>
        <v>35980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  <c r="P54" s="2">
        <v>0</v>
      </c>
    </row>
    <row r="55" spans="1:17" ht="14.1" customHeight="1" x14ac:dyDescent="0.2">
      <c r="A55" s="17">
        <v>3</v>
      </c>
      <c r="B55" s="8" t="str">
        <f>'Приложение 1'!B55</f>
        <v>город Обь улица 3316 км дом 1</v>
      </c>
      <c r="C55" s="111">
        <f>'Приложение 1'!M55</f>
        <v>157.9</v>
      </c>
      <c r="D55" s="114">
        <f>'Приложение 1'!P55</f>
        <v>5681242</v>
      </c>
      <c r="E55" s="2">
        <v>0</v>
      </c>
      <c r="F55" s="2">
        <v>0</v>
      </c>
      <c r="G55" s="2">
        <v>0</v>
      </c>
      <c r="H55" s="1">
        <f t="shared" si="40"/>
        <v>157.9</v>
      </c>
      <c r="I55" s="1">
        <f t="shared" si="41"/>
        <v>5681242</v>
      </c>
      <c r="J55" s="115">
        <f t="shared" si="5"/>
        <v>35980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</row>
    <row r="56" spans="1:17" ht="15.75" customHeight="1" x14ac:dyDescent="0.2">
      <c r="A56" s="17">
        <v>4</v>
      </c>
      <c r="B56" s="8" t="str">
        <f>'Приложение 1'!B56</f>
        <v>город Обь улица Станционная дом 2</v>
      </c>
      <c r="C56" s="111">
        <f>'Приложение 1'!M56</f>
        <v>210.6</v>
      </c>
      <c r="D56" s="114">
        <f>'Приложение 1'!P56</f>
        <v>7577388</v>
      </c>
      <c r="E56" s="2">
        <v>0</v>
      </c>
      <c r="F56" s="2">
        <v>0</v>
      </c>
      <c r="G56" s="2">
        <v>0</v>
      </c>
      <c r="H56" s="1">
        <f t="shared" si="40"/>
        <v>210.6</v>
      </c>
      <c r="I56" s="1">
        <f t="shared" si="41"/>
        <v>7577388</v>
      </c>
      <c r="J56" s="115">
        <f t="shared" si="5"/>
        <v>35980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v>0</v>
      </c>
    </row>
    <row r="57" spans="1:17" ht="18" customHeight="1" x14ac:dyDescent="0.2">
      <c r="A57" s="17">
        <v>5</v>
      </c>
      <c r="B57" s="8" t="str">
        <f>'Приложение 1'!B57</f>
        <v>город Обь улица 3316 км дом 5</v>
      </c>
      <c r="C57" s="111">
        <f>'Приложение 1'!M57</f>
        <v>116.2</v>
      </c>
      <c r="D57" s="114">
        <f>'Приложение 1'!P57</f>
        <v>4180876</v>
      </c>
      <c r="E57" s="2">
        <v>0</v>
      </c>
      <c r="F57" s="2">
        <v>0</v>
      </c>
      <c r="G57" s="2">
        <v>0</v>
      </c>
      <c r="H57" s="1">
        <f t="shared" si="40"/>
        <v>116.2</v>
      </c>
      <c r="I57" s="1">
        <f t="shared" si="41"/>
        <v>4180876</v>
      </c>
      <c r="J57" s="115">
        <f t="shared" si="5"/>
        <v>35980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0</v>
      </c>
    </row>
    <row r="58" spans="1:17" ht="19.5" customHeight="1" x14ac:dyDescent="0.2">
      <c r="A58" s="17">
        <v>6</v>
      </c>
      <c r="B58" s="8" t="str">
        <f>'Приложение 1'!B58</f>
        <v>город Обь улица Шевченко дом 20</v>
      </c>
      <c r="C58" s="111">
        <f>'Приложение 1'!M58</f>
        <v>114</v>
      </c>
      <c r="D58" s="114">
        <f>'Приложение 1'!P58</f>
        <v>4101720</v>
      </c>
      <c r="E58" s="2">
        <v>0</v>
      </c>
      <c r="F58" s="2">
        <v>0</v>
      </c>
      <c r="G58" s="2">
        <v>0</v>
      </c>
      <c r="H58" s="1">
        <f t="shared" si="40"/>
        <v>114</v>
      </c>
      <c r="I58" s="1">
        <f t="shared" si="41"/>
        <v>4101720</v>
      </c>
      <c r="J58" s="115">
        <f t="shared" si="5"/>
        <v>35980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0</v>
      </c>
    </row>
    <row r="59" spans="1:17" ht="20.25" customHeight="1" x14ac:dyDescent="0.2">
      <c r="A59" s="17">
        <v>7</v>
      </c>
      <c r="B59" s="8" t="str">
        <f>'Приложение 1'!B59</f>
        <v>город Обь улица Строительная дом 35</v>
      </c>
      <c r="C59" s="111">
        <f>'Приложение 1'!M59</f>
        <v>93.9</v>
      </c>
      <c r="D59" s="114">
        <f>'Приложение 1'!P59</f>
        <v>3378522</v>
      </c>
      <c r="E59" s="2">
        <v>0</v>
      </c>
      <c r="F59" s="2">
        <v>0</v>
      </c>
      <c r="G59" s="2">
        <v>0</v>
      </c>
      <c r="H59" s="1">
        <f t="shared" si="40"/>
        <v>93.9</v>
      </c>
      <c r="I59" s="1">
        <f t="shared" si="41"/>
        <v>3378522</v>
      </c>
      <c r="J59" s="115">
        <f t="shared" si="5"/>
        <v>35980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0</v>
      </c>
    </row>
    <row r="60" spans="1:17" ht="14.1" customHeight="1" x14ac:dyDescent="0.2">
      <c r="A60" s="17">
        <v>8</v>
      </c>
      <c r="B60" s="8" t="str">
        <f>'Приложение 1'!B60</f>
        <v>город Обь улица Строительная дом 39</v>
      </c>
      <c r="C60" s="111">
        <f>'Приложение 1'!M60</f>
        <v>141.80000000000001</v>
      </c>
      <c r="D60" s="114">
        <f>'Приложение 1'!P60</f>
        <v>5101964</v>
      </c>
      <c r="E60" s="2">
        <v>0</v>
      </c>
      <c r="F60" s="2">
        <v>0</v>
      </c>
      <c r="G60" s="2">
        <v>0</v>
      </c>
      <c r="H60" s="1">
        <f t="shared" si="40"/>
        <v>141.80000000000001</v>
      </c>
      <c r="I60" s="1">
        <f t="shared" si="41"/>
        <v>5101964</v>
      </c>
      <c r="J60" s="115">
        <f t="shared" si="5"/>
        <v>35980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</row>
    <row r="61" spans="1:17" ht="14.1" customHeight="1" x14ac:dyDescent="0.2">
      <c r="A61" s="17">
        <v>9</v>
      </c>
      <c r="B61" s="8" t="str">
        <f>'Приложение 1'!B61</f>
        <v>город Обь улица Сигнальная дом 6</v>
      </c>
      <c r="C61" s="111">
        <f>'Приложение 1'!M61</f>
        <v>134.80000000000001</v>
      </c>
      <c r="D61" s="114">
        <f>'Приложение 1'!P61</f>
        <v>4850104</v>
      </c>
      <c r="E61" s="2">
        <v>0</v>
      </c>
      <c r="F61" s="2">
        <v>0</v>
      </c>
      <c r="G61" s="2">
        <v>0</v>
      </c>
      <c r="H61" s="1">
        <f t="shared" si="40"/>
        <v>134.80000000000001</v>
      </c>
      <c r="I61" s="1">
        <f t="shared" si="41"/>
        <v>4850104</v>
      </c>
      <c r="J61" s="115">
        <f t="shared" si="5"/>
        <v>35980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v>0</v>
      </c>
    </row>
    <row r="62" spans="1:17" ht="14.1" customHeight="1" x14ac:dyDescent="0.2">
      <c r="A62" s="17">
        <v>10</v>
      </c>
      <c r="B62" s="8" t="str">
        <f>'Приложение 1'!B62</f>
        <v>город Обь улица Сигнальная дом 10</v>
      </c>
      <c r="C62" s="111">
        <f>'Приложение 1'!M62</f>
        <v>37</v>
      </c>
      <c r="D62" s="114">
        <f>'Приложение 1'!P62</f>
        <v>1331260</v>
      </c>
      <c r="E62" s="2">
        <v>0</v>
      </c>
      <c r="F62" s="2">
        <v>0</v>
      </c>
      <c r="G62" s="2">
        <v>0</v>
      </c>
      <c r="H62" s="1">
        <f t="shared" si="40"/>
        <v>37</v>
      </c>
      <c r="I62" s="1">
        <f t="shared" si="41"/>
        <v>1331260</v>
      </c>
      <c r="J62" s="115">
        <f t="shared" si="5"/>
        <v>35980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</row>
    <row r="63" spans="1:17" ht="14.1" customHeight="1" x14ac:dyDescent="0.2">
      <c r="A63" s="17">
        <v>11</v>
      </c>
      <c r="B63" s="8" t="str">
        <f>'Приложение 1'!B63</f>
        <v>город Обь улица Сигнальная дом 12</v>
      </c>
      <c r="C63" s="111">
        <f>'Приложение 1'!M63</f>
        <v>72.5</v>
      </c>
      <c r="D63" s="114">
        <f>'Приложение 1'!P63</f>
        <v>2608550</v>
      </c>
      <c r="E63" s="2">
        <v>0</v>
      </c>
      <c r="F63" s="2">
        <v>0</v>
      </c>
      <c r="G63" s="2">
        <v>0</v>
      </c>
      <c r="H63" s="1">
        <f t="shared" si="40"/>
        <v>72.5</v>
      </c>
      <c r="I63" s="1">
        <f t="shared" si="41"/>
        <v>2608550</v>
      </c>
      <c r="J63" s="115">
        <f t="shared" si="5"/>
        <v>35980</v>
      </c>
      <c r="K63" s="110">
        <v>0</v>
      </c>
      <c r="L63" s="110">
        <v>0</v>
      </c>
      <c r="M63" s="110">
        <v>0</v>
      </c>
      <c r="N63" s="110">
        <v>0</v>
      </c>
      <c r="O63" s="110">
        <v>0</v>
      </c>
      <c r="P63" s="110">
        <v>0</v>
      </c>
    </row>
    <row r="64" spans="1:17" ht="14.1" customHeight="1" x14ac:dyDescent="0.2">
      <c r="A64" s="17">
        <v>12</v>
      </c>
      <c r="B64" s="8" t="str">
        <f>'Приложение 1'!B64</f>
        <v>город Обь улица Сигнальная дом 14</v>
      </c>
      <c r="C64" s="111">
        <f>'Приложение 1'!M64</f>
        <v>94.9</v>
      </c>
      <c r="D64" s="114">
        <f>'Приложение 1'!P64</f>
        <v>3414502</v>
      </c>
      <c r="E64" s="2">
        <v>0</v>
      </c>
      <c r="F64" s="2">
        <v>0</v>
      </c>
      <c r="G64" s="2">
        <v>0</v>
      </c>
      <c r="H64" s="1">
        <f t="shared" si="40"/>
        <v>94.9</v>
      </c>
      <c r="I64" s="1">
        <f t="shared" si="41"/>
        <v>3414502</v>
      </c>
      <c r="J64" s="115">
        <f t="shared" si="5"/>
        <v>35980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</row>
    <row r="65" spans="1:16" ht="14.1" customHeight="1" x14ac:dyDescent="0.2">
      <c r="A65" s="17">
        <v>13</v>
      </c>
      <c r="B65" s="8" t="str">
        <f>'Приложение 1'!B65</f>
        <v>город Обь улица Сигнальная дом 16</v>
      </c>
      <c r="C65" s="111">
        <f>'Приложение 1'!M65</f>
        <v>33.200000000000003</v>
      </c>
      <c r="D65" s="114">
        <f>'Приложение 1'!P65</f>
        <v>1194536</v>
      </c>
      <c r="E65" s="2">
        <v>0</v>
      </c>
      <c r="F65" s="2">
        <v>0</v>
      </c>
      <c r="G65" s="2">
        <v>0</v>
      </c>
      <c r="H65" s="1">
        <f t="shared" si="40"/>
        <v>33.200000000000003</v>
      </c>
      <c r="I65" s="1">
        <f t="shared" si="41"/>
        <v>1194536</v>
      </c>
      <c r="J65" s="115">
        <f t="shared" si="5"/>
        <v>35980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0</v>
      </c>
    </row>
    <row r="66" spans="1:16" ht="14.1" customHeight="1" x14ac:dyDescent="0.2">
      <c r="A66" s="17">
        <v>14</v>
      </c>
      <c r="B66" s="8" t="str">
        <f>'Приложение 1'!B66</f>
        <v>город Обь улица Кирова дом 14</v>
      </c>
      <c r="C66" s="111">
        <f>'Приложение 1'!M66</f>
        <v>92.7</v>
      </c>
      <c r="D66" s="114">
        <f>'Приложение 1'!P66</f>
        <v>3335346</v>
      </c>
      <c r="E66" s="2">
        <v>0</v>
      </c>
      <c r="F66" s="2">
        <v>0</v>
      </c>
      <c r="G66" s="2">
        <v>0</v>
      </c>
      <c r="H66" s="1">
        <f t="shared" si="40"/>
        <v>92.7</v>
      </c>
      <c r="I66" s="1">
        <f t="shared" si="41"/>
        <v>3335346</v>
      </c>
      <c r="J66" s="115">
        <f t="shared" si="5"/>
        <v>35980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</row>
    <row r="67" spans="1:16" ht="14.1" customHeight="1" x14ac:dyDescent="0.2">
      <c r="A67" s="17">
        <v>15</v>
      </c>
      <c r="B67" s="8" t="str">
        <f>'Приложение 1'!B67</f>
        <v>город Обь улица Кирова дом 30</v>
      </c>
      <c r="C67" s="111">
        <f>'Приложение 1'!M67</f>
        <v>127.2</v>
      </c>
      <c r="D67" s="114">
        <f>'Приложение 1'!P67</f>
        <v>4576656</v>
      </c>
      <c r="E67" s="2">
        <v>0</v>
      </c>
      <c r="F67" s="2">
        <v>0</v>
      </c>
      <c r="G67" s="2">
        <v>0</v>
      </c>
      <c r="H67" s="1">
        <f t="shared" si="40"/>
        <v>127.2</v>
      </c>
      <c r="I67" s="1">
        <f t="shared" si="41"/>
        <v>4576656</v>
      </c>
      <c r="J67" s="115">
        <f t="shared" si="5"/>
        <v>35980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2">
        <v>0</v>
      </c>
    </row>
    <row r="68" spans="1:16" ht="25.5" customHeight="1" x14ac:dyDescent="0.2">
      <c r="A68" s="158" t="s">
        <v>160</v>
      </c>
      <c r="B68" s="158"/>
      <c r="C68" s="127">
        <f>'Приложение 1'!M68</f>
        <v>522.9</v>
      </c>
      <c r="D68" s="128">
        <f>'Приложение 1'!P68</f>
        <v>18813942</v>
      </c>
      <c r="E68" s="120">
        <v>0</v>
      </c>
      <c r="F68" s="120">
        <v>0</v>
      </c>
      <c r="G68" s="120">
        <v>0</v>
      </c>
      <c r="H68" s="127">
        <f>C68</f>
        <v>522.9</v>
      </c>
      <c r="I68" s="128">
        <f>D68</f>
        <v>18813942</v>
      </c>
      <c r="J68" s="121">
        <f t="shared" si="5"/>
        <v>35980</v>
      </c>
      <c r="K68" s="120">
        <v>0</v>
      </c>
      <c r="L68" s="120">
        <v>0</v>
      </c>
      <c r="M68" s="120">
        <v>0</v>
      </c>
      <c r="N68" s="120">
        <v>0</v>
      </c>
      <c r="O68" s="120">
        <v>0</v>
      </c>
      <c r="P68" s="120">
        <v>0</v>
      </c>
    </row>
    <row r="69" spans="1:16" ht="25.5" customHeight="1" x14ac:dyDescent="0.2">
      <c r="A69" s="154" t="str">
        <f>'Приложение 1'!A69:B69</f>
        <v>Итого по городу Обь</v>
      </c>
      <c r="B69" s="155"/>
      <c r="C69" s="127">
        <f>'Приложение 1'!M69</f>
        <v>522.9</v>
      </c>
      <c r="D69" s="128">
        <f>'Приложение 1'!P69</f>
        <v>18813942</v>
      </c>
      <c r="E69" s="120">
        <v>0</v>
      </c>
      <c r="F69" s="120">
        <v>0</v>
      </c>
      <c r="G69" s="120">
        <v>0</v>
      </c>
      <c r="H69" s="127">
        <f t="shared" ref="H69:H71" si="42">C69</f>
        <v>522.9</v>
      </c>
      <c r="I69" s="128">
        <f t="shared" ref="I69:I71" si="43">D69</f>
        <v>18813942</v>
      </c>
      <c r="J69" s="121">
        <f t="shared" si="5"/>
        <v>35980</v>
      </c>
      <c r="K69" s="120">
        <v>0</v>
      </c>
      <c r="L69" s="120">
        <v>0</v>
      </c>
      <c r="M69" s="120">
        <v>0</v>
      </c>
      <c r="N69" s="120">
        <v>0</v>
      </c>
      <c r="O69" s="120">
        <v>0</v>
      </c>
      <c r="P69" s="120">
        <v>0</v>
      </c>
    </row>
    <row r="70" spans="1:16" ht="25.5" customHeight="1" x14ac:dyDescent="0.2">
      <c r="A70" s="38">
        <v>1</v>
      </c>
      <c r="B70" s="122" t="str">
        <f>'Приложение 1'!B70</f>
        <v>город Обь улица Пушкина дом 7</v>
      </c>
      <c r="C70" s="127">
        <f>'Приложение 1'!M70</f>
        <v>106.1</v>
      </c>
      <c r="D70" s="128">
        <f>'Приложение 1'!P70</f>
        <v>3817478</v>
      </c>
      <c r="E70" s="120">
        <v>0</v>
      </c>
      <c r="F70" s="120">
        <v>0</v>
      </c>
      <c r="G70" s="120">
        <v>0</v>
      </c>
      <c r="H70" s="127">
        <f t="shared" si="42"/>
        <v>106.1</v>
      </c>
      <c r="I70" s="128">
        <f t="shared" si="43"/>
        <v>3817478</v>
      </c>
      <c r="J70" s="121">
        <f t="shared" si="5"/>
        <v>35980</v>
      </c>
      <c r="K70" s="120">
        <v>0</v>
      </c>
      <c r="L70" s="120">
        <v>0</v>
      </c>
      <c r="M70" s="120">
        <v>0</v>
      </c>
      <c r="N70" s="120">
        <v>0</v>
      </c>
      <c r="O70" s="120">
        <v>0</v>
      </c>
      <c r="P70" s="120">
        <v>0</v>
      </c>
    </row>
    <row r="71" spans="1:16" ht="25.5" customHeight="1" x14ac:dyDescent="0.2">
      <c r="A71" s="38">
        <v>2</v>
      </c>
      <c r="B71" s="122" t="str">
        <f>'Приложение 1'!B71</f>
        <v>город Обь улица Железнодорожная дом 10</v>
      </c>
      <c r="C71" s="127">
        <f>'Приложение 1'!M71</f>
        <v>416.8</v>
      </c>
      <c r="D71" s="128">
        <f>'Приложение 1'!P71</f>
        <v>14996464</v>
      </c>
      <c r="E71" s="120">
        <v>0</v>
      </c>
      <c r="F71" s="120">
        <v>0</v>
      </c>
      <c r="G71" s="120">
        <v>0</v>
      </c>
      <c r="H71" s="127">
        <f t="shared" si="42"/>
        <v>416.8</v>
      </c>
      <c r="I71" s="128">
        <f t="shared" si="43"/>
        <v>14996464</v>
      </c>
      <c r="J71" s="121">
        <f t="shared" si="5"/>
        <v>35980</v>
      </c>
      <c r="K71" s="120">
        <v>0</v>
      </c>
      <c r="L71" s="120">
        <v>0</v>
      </c>
      <c r="M71" s="120">
        <v>0</v>
      </c>
      <c r="N71" s="120">
        <v>0</v>
      </c>
      <c r="O71" s="120">
        <v>0</v>
      </c>
      <c r="P71" s="120">
        <v>0</v>
      </c>
    </row>
    <row r="72" spans="1:16" ht="23.25" customHeight="1" x14ac:dyDescent="0.2">
      <c r="A72" s="154" t="str">
        <f>'Приложение 1'!A72:B72</f>
        <v>Всего  по этапу 2016 года , в т.ч.:</v>
      </c>
      <c r="B72" s="155"/>
      <c r="C72" s="1">
        <f>'Приложение 1'!M72</f>
        <v>1316</v>
      </c>
      <c r="D72" s="1">
        <f>'Приложение 1'!P72</f>
        <v>47349680</v>
      </c>
      <c r="E72" s="2">
        <f>E51</f>
        <v>0</v>
      </c>
      <c r="F72" s="2">
        <f>F51</f>
        <v>0</v>
      </c>
      <c r="G72" s="2">
        <f>G51</f>
        <v>0</v>
      </c>
      <c r="H72" s="9">
        <f>C72</f>
        <v>1316</v>
      </c>
      <c r="I72" s="9">
        <f>D72</f>
        <v>47349680</v>
      </c>
      <c r="J72" s="115">
        <f t="shared" si="5"/>
        <v>35980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2">
        <v>0</v>
      </c>
    </row>
    <row r="73" spans="1:16" ht="23.25" customHeight="1" x14ac:dyDescent="0.2">
      <c r="A73" s="154" t="str">
        <f>'Приложение 1'!A73:B73</f>
        <v>Всего по этапу 2016 года,  с финансовой поддержкой Фонда</v>
      </c>
      <c r="B73" s="155"/>
      <c r="C73" s="9">
        <f>C74</f>
        <v>1316</v>
      </c>
      <c r="D73" s="9">
        <f>D74</f>
        <v>47349680</v>
      </c>
      <c r="E73" s="34">
        <v>0</v>
      </c>
      <c r="F73" s="34">
        <v>0</v>
      </c>
      <c r="G73" s="34">
        <v>0</v>
      </c>
      <c r="H73" s="9">
        <f>H74</f>
        <v>1316</v>
      </c>
      <c r="I73" s="9">
        <f>I74</f>
        <v>47349680</v>
      </c>
      <c r="J73" s="115">
        <f t="shared" si="5"/>
        <v>35980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0</v>
      </c>
    </row>
    <row r="74" spans="1:16" ht="18" customHeight="1" x14ac:dyDescent="0.2">
      <c r="A74" s="154" t="str">
        <f>'Приложение 1'!A74:B74</f>
        <v>Итого по городу Обь</v>
      </c>
      <c r="B74" s="155"/>
      <c r="C74" s="1">
        <f>'Приложение 1'!M74</f>
        <v>1316</v>
      </c>
      <c r="D74" s="1">
        <f>'Приложение 1'!P74</f>
        <v>47349680</v>
      </c>
      <c r="E74" s="2">
        <v>0</v>
      </c>
      <c r="F74" s="2">
        <v>0</v>
      </c>
      <c r="G74" s="2">
        <v>0</v>
      </c>
      <c r="H74" s="9">
        <f>H72</f>
        <v>1316</v>
      </c>
      <c r="I74" s="9">
        <f>I72</f>
        <v>47349680</v>
      </c>
      <c r="J74" s="115">
        <f t="shared" si="5"/>
        <v>35980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  <c r="P74" s="2">
        <v>0</v>
      </c>
    </row>
    <row r="75" spans="1:16" ht="22.5" customHeight="1" x14ac:dyDescent="0.2">
      <c r="A75" s="18">
        <v>1</v>
      </c>
      <c r="B75" s="8" t="str">
        <f>'Приложение 1'!B75</f>
        <v>город Обь улица Кирова дом 9</v>
      </c>
      <c r="C75" s="1">
        <f>'Приложение 1'!M75</f>
        <v>88.2</v>
      </c>
      <c r="D75" s="1">
        <f>'Приложение 1'!P75</f>
        <v>3173436</v>
      </c>
      <c r="E75" s="2">
        <v>0</v>
      </c>
      <c r="F75" s="2">
        <v>0</v>
      </c>
      <c r="G75" s="2">
        <v>0</v>
      </c>
      <c r="H75" s="9">
        <f>C75</f>
        <v>88.2</v>
      </c>
      <c r="I75" s="1">
        <f t="shared" ref="I75:I92" si="44">D75</f>
        <v>3173436</v>
      </c>
      <c r="J75" s="115">
        <f t="shared" si="5"/>
        <v>35980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</row>
    <row r="76" spans="1:16" ht="14.1" customHeight="1" x14ac:dyDescent="0.2">
      <c r="A76" s="18">
        <v>2</v>
      </c>
      <c r="B76" s="8" t="str">
        <f>'Приложение 1'!B76</f>
        <v>город Обь улица Кирова дом 15</v>
      </c>
      <c r="C76" s="111">
        <f>'Приложение 1'!M76</f>
        <v>91.3</v>
      </c>
      <c r="D76" s="111">
        <f>'Приложение 1'!P76</f>
        <v>3284974</v>
      </c>
      <c r="E76" s="2">
        <v>0</v>
      </c>
      <c r="F76" s="2">
        <v>0</v>
      </c>
      <c r="G76" s="2">
        <v>0</v>
      </c>
      <c r="H76" s="9">
        <f t="shared" ref="H76:H90" si="45">C76</f>
        <v>91.3</v>
      </c>
      <c r="I76" s="111">
        <f t="shared" si="44"/>
        <v>3284974</v>
      </c>
      <c r="J76" s="115">
        <f t="shared" si="5"/>
        <v>35980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  <c r="P76" s="2">
        <v>0</v>
      </c>
    </row>
    <row r="77" spans="1:16" ht="14.1" customHeight="1" x14ac:dyDescent="0.2">
      <c r="A77" s="18">
        <v>3</v>
      </c>
      <c r="B77" s="8" t="str">
        <f>'Приложение 1'!B77</f>
        <v>город Обь улица Кирова дом 16</v>
      </c>
      <c r="C77" s="111">
        <f>'Приложение 1'!M77</f>
        <v>91.7</v>
      </c>
      <c r="D77" s="111">
        <f>'Приложение 1'!P77</f>
        <v>3299366</v>
      </c>
      <c r="E77" s="2">
        <v>0</v>
      </c>
      <c r="F77" s="2">
        <v>0</v>
      </c>
      <c r="G77" s="2">
        <v>0</v>
      </c>
      <c r="H77" s="9">
        <f t="shared" si="45"/>
        <v>91.7</v>
      </c>
      <c r="I77" s="111">
        <f t="shared" si="44"/>
        <v>3299366</v>
      </c>
      <c r="J77" s="115">
        <f t="shared" ref="J77:J98" si="46">I77/H77</f>
        <v>35980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</row>
    <row r="78" spans="1:16" ht="14.1" customHeight="1" x14ac:dyDescent="0.2">
      <c r="A78" s="18">
        <v>4</v>
      </c>
      <c r="B78" s="8" t="str">
        <f>'Приложение 1'!B78</f>
        <v>город Обь улица Кирова дом 18</v>
      </c>
      <c r="C78" s="111">
        <f>'Приложение 1'!M78</f>
        <v>91.1</v>
      </c>
      <c r="D78" s="111">
        <f>'Приложение 1'!P78</f>
        <v>3277778</v>
      </c>
      <c r="E78" s="2">
        <v>0</v>
      </c>
      <c r="F78" s="2">
        <v>0</v>
      </c>
      <c r="G78" s="2">
        <v>0</v>
      </c>
      <c r="H78" s="9">
        <f t="shared" si="45"/>
        <v>91.1</v>
      </c>
      <c r="I78" s="111">
        <f t="shared" si="44"/>
        <v>3277778</v>
      </c>
      <c r="J78" s="115">
        <f t="shared" si="46"/>
        <v>35980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2">
        <v>0</v>
      </c>
    </row>
    <row r="79" spans="1:16" ht="14.1" customHeight="1" x14ac:dyDescent="0.2">
      <c r="A79" s="18">
        <v>5</v>
      </c>
      <c r="B79" s="8" t="str">
        <f>'Приложение 1'!B79</f>
        <v>город Обь улица Кирова дом 19</v>
      </c>
      <c r="C79" s="111">
        <f>'Приложение 1'!M79</f>
        <v>93.8</v>
      </c>
      <c r="D79" s="111">
        <f>'Приложение 1'!P79</f>
        <v>3374924</v>
      </c>
      <c r="E79" s="2">
        <v>0</v>
      </c>
      <c r="F79" s="2">
        <v>0</v>
      </c>
      <c r="G79" s="2">
        <v>0</v>
      </c>
      <c r="H79" s="9">
        <f t="shared" si="45"/>
        <v>93.8</v>
      </c>
      <c r="I79" s="111">
        <f t="shared" si="44"/>
        <v>3374924</v>
      </c>
      <c r="J79" s="115">
        <f t="shared" si="46"/>
        <v>35980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v>0</v>
      </c>
    </row>
    <row r="80" spans="1:16" ht="14.1" customHeight="1" x14ac:dyDescent="0.2">
      <c r="A80" s="18">
        <v>6</v>
      </c>
      <c r="B80" s="8" t="str">
        <f>'Приложение 1'!B80</f>
        <v>город Обь улица Кирова дом 21</v>
      </c>
      <c r="C80" s="111">
        <f>'Приложение 1'!M80</f>
        <v>94.4</v>
      </c>
      <c r="D80" s="111">
        <f>'Приложение 1'!P80</f>
        <v>3396512</v>
      </c>
      <c r="E80" s="2">
        <v>0</v>
      </c>
      <c r="F80" s="2">
        <v>0</v>
      </c>
      <c r="G80" s="2">
        <v>0</v>
      </c>
      <c r="H80" s="9">
        <f t="shared" si="45"/>
        <v>94.4</v>
      </c>
      <c r="I80" s="111">
        <f t="shared" si="44"/>
        <v>3396512</v>
      </c>
      <c r="J80" s="115">
        <f t="shared" si="46"/>
        <v>35980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v>0</v>
      </c>
    </row>
    <row r="81" spans="1:16" ht="14.1" customHeight="1" x14ac:dyDescent="0.2">
      <c r="A81" s="18">
        <v>7</v>
      </c>
      <c r="B81" s="8" t="str">
        <f>'Приложение 1'!B81</f>
        <v>город Обь улица Шевченко дом 8</v>
      </c>
      <c r="C81" s="111">
        <f>'Приложение 1'!M81</f>
        <v>93.3</v>
      </c>
      <c r="D81" s="111">
        <f>'Приложение 1'!P81</f>
        <v>3356934</v>
      </c>
      <c r="E81" s="2">
        <v>0</v>
      </c>
      <c r="F81" s="2">
        <v>0</v>
      </c>
      <c r="G81" s="2">
        <v>0</v>
      </c>
      <c r="H81" s="9">
        <f t="shared" si="45"/>
        <v>93.3</v>
      </c>
      <c r="I81" s="111">
        <f t="shared" si="44"/>
        <v>3356934</v>
      </c>
      <c r="J81" s="115">
        <f t="shared" si="46"/>
        <v>35980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  <c r="P81" s="2">
        <v>0</v>
      </c>
    </row>
    <row r="82" spans="1:16" ht="14.1" customHeight="1" x14ac:dyDescent="0.2">
      <c r="A82" s="18">
        <v>8</v>
      </c>
      <c r="B82" s="8" t="str">
        <f>'Приложение 1'!B82</f>
        <v>город Обь улица Шевченко дом 10</v>
      </c>
      <c r="C82" s="111">
        <f>'Приложение 1'!M82</f>
        <v>92.5</v>
      </c>
      <c r="D82" s="111">
        <f>'Приложение 1'!P82</f>
        <v>3328150</v>
      </c>
      <c r="E82" s="2">
        <v>0</v>
      </c>
      <c r="F82" s="2">
        <v>0</v>
      </c>
      <c r="G82" s="2">
        <v>0</v>
      </c>
      <c r="H82" s="9">
        <f t="shared" si="45"/>
        <v>92.5</v>
      </c>
      <c r="I82" s="111">
        <f t="shared" si="44"/>
        <v>3328150</v>
      </c>
      <c r="J82" s="115">
        <f t="shared" si="46"/>
        <v>35980</v>
      </c>
      <c r="K82" s="110">
        <v>0</v>
      </c>
      <c r="L82" s="110">
        <v>0</v>
      </c>
      <c r="M82" s="110">
        <v>0</v>
      </c>
      <c r="N82" s="110">
        <v>0</v>
      </c>
      <c r="O82" s="110">
        <v>0</v>
      </c>
      <c r="P82" s="110">
        <v>0</v>
      </c>
    </row>
    <row r="83" spans="1:16" ht="14.1" customHeight="1" x14ac:dyDescent="0.2">
      <c r="A83" s="18">
        <v>9</v>
      </c>
      <c r="B83" s="8" t="str">
        <f>'Приложение 1'!B83</f>
        <v>город Обь улица Шевченко дом 12</v>
      </c>
      <c r="C83" s="111">
        <f>'Приложение 1'!M83</f>
        <v>92.2</v>
      </c>
      <c r="D83" s="111">
        <f>'Приложение 1'!P83</f>
        <v>3317356</v>
      </c>
      <c r="E83" s="2">
        <v>0</v>
      </c>
      <c r="F83" s="2">
        <v>0</v>
      </c>
      <c r="G83" s="2">
        <v>0</v>
      </c>
      <c r="H83" s="9">
        <f t="shared" si="45"/>
        <v>92.2</v>
      </c>
      <c r="I83" s="111">
        <f t="shared" si="44"/>
        <v>3317356</v>
      </c>
      <c r="J83" s="115">
        <f t="shared" si="46"/>
        <v>35980</v>
      </c>
      <c r="K83" s="110">
        <v>0</v>
      </c>
      <c r="L83" s="110">
        <v>0</v>
      </c>
      <c r="M83" s="110">
        <v>0</v>
      </c>
      <c r="N83" s="110">
        <v>0</v>
      </c>
      <c r="O83" s="110">
        <v>0</v>
      </c>
      <c r="P83" s="110">
        <v>0</v>
      </c>
    </row>
    <row r="84" spans="1:16" ht="14.1" customHeight="1" x14ac:dyDescent="0.2">
      <c r="A84" s="18">
        <v>10</v>
      </c>
      <c r="B84" s="8" t="str">
        <f>'Приложение 1'!B84</f>
        <v>город Обь улица Шевченко дом 14</v>
      </c>
      <c r="C84" s="111">
        <f>'Приложение 1'!M84</f>
        <v>94</v>
      </c>
      <c r="D84" s="111">
        <f>'Приложение 1'!P84</f>
        <v>3382120</v>
      </c>
      <c r="E84" s="2">
        <v>0</v>
      </c>
      <c r="F84" s="2">
        <v>0</v>
      </c>
      <c r="G84" s="2">
        <v>0</v>
      </c>
      <c r="H84" s="9">
        <f t="shared" si="45"/>
        <v>94</v>
      </c>
      <c r="I84" s="111">
        <f t="shared" si="44"/>
        <v>3382120</v>
      </c>
      <c r="J84" s="115">
        <f t="shared" si="46"/>
        <v>35980</v>
      </c>
      <c r="K84" s="34">
        <f t="shared" ref="K84:P85" si="47">K63</f>
        <v>0</v>
      </c>
      <c r="L84" s="34">
        <f t="shared" si="47"/>
        <v>0</v>
      </c>
      <c r="M84" s="34">
        <f t="shared" si="47"/>
        <v>0</v>
      </c>
      <c r="N84" s="34">
        <f t="shared" si="47"/>
        <v>0</v>
      </c>
      <c r="O84" s="34">
        <f t="shared" si="47"/>
        <v>0</v>
      </c>
      <c r="P84" s="34">
        <f t="shared" si="47"/>
        <v>0</v>
      </c>
    </row>
    <row r="85" spans="1:16" ht="14.1" customHeight="1" x14ac:dyDescent="0.2">
      <c r="A85" s="18">
        <v>11</v>
      </c>
      <c r="B85" s="8" t="str">
        <f>'Приложение 1'!B85</f>
        <v>город Обь улица 3316 км дом 2</v>
      </c>
      <c r="C85" s="111">
        <f>'Приложение 1'!M85</f>
        <v>97.7</v>
      </c>
      <c r="D85" s="111">
        <f>'Приложение 1'!P85</f>
        <v>3515246</v>
      </c>
      <c r="E85" s="2">
        <v>0</v>
      </c>
      <c r="F85" s="2">
        <v>0</v>
      </c>
      <c r="G85" s="2">
        <v>0</v>
      </c>
      <c r="H85" s="9">
        <f t="shared" si="45"/>
        <v>97.7</v>
      </c>
      <c r="I85" s="111">
        <f t="shared" si="44"/>
        <v>3515246</v>
      </c>
      <c r="J85" s="115">
        <f t="shared" si="46"/>
        <v>35980</v>
      </c>
      <c r="K85" s="34">
        <f t="shared" si="47"/>
        <v>0</v>
      </c>
      <c r="L85" s="34">
        <f t="shared" si="47"/>
        <v>0</v>
      </c>
      <c r="M85" s="34">
        <f t="shared" si="47"/>
        <v>0</v>
      </c>
      <c r="N85" s="34">
        <f t="shared" si="47"/>
        <v>0</v>
      </c>
      <c r="O85" s="34">
        <f t="shared" si="47"/>
        <v>0</v>
      </c>
      <c r="P85" s="34">
        <f t="shared" si="47"/>
        <v>0</v>
      </c>
    </row>
    <row r="86" spans="1:16" ht="14.1" customHeight="1" x14ac:dyDescent="0.2">
      <c r="A86" s="18">
        <v>12</v>
      </c>
      <c r="B86" s="8" t="str">
        <f>'Приложение 1'!B86</f>
        <v>город Обь улица 3316 км дом 3</v>
      </c>
      <c r="C86" s="111">
        <f>'Приложение 1'!M86</f>
        <v>55.2</v>
      </c>
      <c r="D86" s="111">
        <f>'Приложение 1'!P86</f>
        <v>1986096</v>
      </c>
      <c r="E86" s="110">
        <v>0</v>
      </c>
      <c r="F86" s="110">
        <v>0</v>
      </c>
      <c r="G86" s="110">
        <v>0</v>
      </c>
      <c r="H86" s="9">
        <f t="shared" si="45"/>
        <v>55.2</v>
      </c>
      <c r="I86" s="111">
        <f t="shared" si="44"/>
        <v>1986096</v>
      </c>
      <c r="J86" s="115">
        <f t="shared" si="46"/>
        <v>35980</v>
      </c>
      <c r="K86" s="110">
        <v>0</v>
      </c>
      <c r="L86" s="110">
        <v>0</v>
      </c>
      <c r="M86" s="110">
        <v>0</v>
      </c>
      <c r="N86" s="110">
        <v>0</v>
      </c>
      <c r="O86" s="110">
        <v>0</v>
      </c>
      <c r="P86" s="110">
        <v>0</v>
      </c>
    </row>
    <row r="87" spans="1:16" ht="14.1" customHeight="1" x14ac:dyDescent="0.2">
      <c r="A87" s="18">
        <v>13</v>
      </c>
      <c r="B87" s="8" t="str">
        <f>'Приложение 1'!B87</f>
        <v>город Обь улица 3316 км дом 4</v>
      </c>
      <c r="C87" s="111">
        <f>'Приложение 1'!M87</f>
        <v>67.8</v>
      </c>
      <c r="D87" s="111">
        <f>'Приложение 1'!P87</f>
        <v>2439444</v>
      </c>
      <c r="E87" s="110">
        <v>0</v>
      </c>
      <c r="F87" s="110">
        <v>0</v>
      </c>
      <c r="G87" s="110">
        <v>0</v>
      </c>
      <c r="H87" s="9">
        <f t="shared" si="45"/>
        <v>67.8</v>
      </c>
      <c r="I87" s="111">
        <f t="shared" si="44"/>
        <v>2439444</v>
      </c>
      <c r="J87" s="115">
        <f t="shared" si="46"/>
        <v>35980</v>
      </c>
      <c r="K87" s="110">
        <v>0</v>
      </c>
      <c r="L87" s="110">
        <v>0</v>
      </c>
      <c r="M87" s="110">
        <v>0</v>
      </c>
      <c r="N87" s="110">
        <v>0</v>
      </c>
      <c r="O87" s="110">
        <v>0</v>
      </c>
      <c r="P87" s="110">
        <v>0</v>
      </c>
    </row>
    <row r="88" spans="1:16" ht="14.1" customHeight="1" x14ac:dyDescent="0.2">
      <c r="A88" s="18">
        <v>14</v>
      </c>
      <c r="B88" s="8" t="str">
        <f>'Приложение 1'!B88</f>
        <v>город Обь улица Береговая дом 112</v>
      </c>
      <c r="C88" s="111">
        <f>'Приложение 1'!M88</f>
        <v>40.700000000000003</v>
      </c>
      <c r="D88" s="111">
        <f>'Приложение 1'!P88</f>
        <v>1464386</v>
      </c>
      <c r="E88" s="110">
        <v>0</v>
      </c>
      <c r="F88" s="110">
        <v>0</v>
      </c>
      <c r="G88" s="110">
        <v>0</v>
      </c>
      <c r="H88" s="9">
        <f t="shared" si="45"/>
        <v>40.700000000000003</v>
      </c>
      <c r="I88" s="111">
        <f t="shared" si="44"/>
        <v>1464386</v>
      </c>
      <c r="J88" s="115">
        <f t="shared" si="46"/>
        <v>35980</v>
      </c>
      <c r="K88" s="110">
        <v>0</v>
      </c>
      <c r="L88" s="110">
        <v>0</v>
      </c>
      <c r="M88" s="110">
        <v>0</v>
      </c>
      <c r="N88" s="110">
        <v>0</v>
      </c>
      <c r="O88" s="110">
        <v>0</v>
      </c>
      <c r="P88" s="110">
        <v>0</v>
      </c>
    </row>
    <row r="89" spans="1:16" ht="14.1" customHeight="1" x14ac:dyDescent="0.2">
      <c r="A89" s="18">
        <v>15</v>
      </c>
      <c r="B89" s="8" t="str">
        <f>'Приложение 1'!B89</f>
        <v>город Обь улица О.Кошевого дом 22</v>
      </c>
      <c r="C89" s="111">
        <f>'Приложение 1'!M89</f>
        <v>61.1</v>
      </c>
      <c r="D89" s="111">
        <f>'Приложение 1'!P89</f>
        <v>2198378</v>
      </c>
      <c r="E89" s="110">
        <v>0</v>
      </c>
      <c r="F89" s="110">
        <v>0</v>
      </c>
      <c r="G89" s="110">
        <v>0</v>
      </c>
      <c r="H89" s="9">
        <f t="shared" si="45"/>
        <v>61.1</v>
      </c>
      <c r="I89" s="111">
        <f t="shared" si="44"/>
        <v>2198378</v>
      </c>
      <c r="J89" s="115">
        <f t="shared" si="46"/>
        <v>35980</v>
      </c>
      <c r="K89" s="110">
        <v>0</v>
      </c>
      <c r="L89" s="110">
        <v>0</v>
      </c>
      <c r="M89" s="110">
        <v>0</v>
      </c>
      <c r="N89" s="110">
        <v>0</v>
      </c>
      <c r="O89" s="110">
        <v>0</v>
      </c>
      <c r="P89" s="110">
        <v>0</v>
      </c>
    </row>
    <row r="90" spans="1:16" ht="14.1" customHeight="1" x14ac:dyDescent="0.2">
      <c r="A90" s="18">
        <v>16</v>
      </c>
      <c r="B90" s="8" t="str">
        <f>'Приложение 1'!B90</f>
        <v>город Обь улица О.Кошевого дом 35</v>
      </c>
      <c r="C90" s="111">
        <f>'Приложение 1'!M90</f>
        <v>71</v>
      </c>
      <c r="D90" s="111">
        <f>'Приложение 1'!P90</f>
        <v>2554580</v>
      </c>
      <c r="E90" s="110">
        <v>0</v>
      </c>
      <c r="F90" s="110">
        <v>0</v>
      </c>
      <c r="G90" s="110">
        <v>0</v>
      </c>
      <c r="H90" s="9">
        <f t="shared" si="45"/>
        <v>71</v>
      </c>
      <c r="I90" s="111">
        <f t="shared" si="44"/>
        <v>2554580</v>
      </c>
      <c r="J90" s="115">
        <f t="shared" si="46"/>
        <v>35980</v>
      </c>
      <c r="K90" s="110">
        <v>0</v>
      </c>
      <c r="L90" s="110">
        <v>0</v>
      </c>
      <c r="M90" s="110">
        <v>0</v>
      </c>
      <c r="N90" s="110">
        <v>0</v>
      </c>
      <c r="O90" s="110">
        <v>0</v>
      </c>
      <c r="P90" s="110">
        <v>0</v>
      </c>
    </row>
    <row r="91" spans="1:16" ht="30" customHeight="1" x14ac:dyDescent="0.2">
      <c r="A91" s="170" t="s">
        <v>114</v>
      </c>
      <c r="B91" s="170"/>
      <c r="C91" s="34">
        <v>0</v>
      </c>
      <c r="D91" s="34">
        <v>0</v>
      </c>
      <c r="E91" s="34">
        <v>0</v>
      </c>
      <c r="F91" s="34">
        <v>0</v>
      </c>
      <c r="G91" s="34">
        <v>0</v>
      </c>
      <c r="H91" s="34">
        <v>0</v>
      </c>
      <c r="I91" s="34">
        <v>0</v>
      </c>
      <c r="J91" s="115"/>
      <c r="K91" s="34">
        <v>0</v>
      </c>
      <c r="L91" s="34">
        <v>0</v>
      </c>
      <c r="M91" s="34">
        <v>0</v>
      </c>
      <c r="N91" s="34">
        <v>0</v>
      </c>
      <c r="O91" s="34">
        <v>0</v>
      </c>
      <c r="P91" s="34">
        <v>0</v>
      </c>
    </row>
    <row r="92" spans="1:16" s="25" customFormat="1" ht="15" customHeight="1" x14ac:dyDescent="0.2">
      <c r="A92" s="156" t="str">
        <f>'Приложение 1'!A92</f>
        <v>Всего  по этапу 2017 года , в т.ч.:</v>
      </c>
      <c r="B92" s="157"/>
      <c r="C92" s="19">
        <f>'Приложение 1'!M92</f>
        <v>172.4</v>
      </c>
      <c r="D92" s="19">
        <f>'Приложение 1'!P92</f>
        <v>6202952</v>
      </c>
      <c r="E92" s="31">
        <v>0</v>
      </c>
      <c r="F92" s="31">
        <v>0</v>
      </c>
      <c r="G92" s="31">
        <v>0</v>
      </c>
      <c r="H92" s="32">
        <f t="shared" ref="H92" si="48">C92</f>
        <v>172.4</v>
      </c>
      <c r="I92" s="19">
        <f t="shared" si="44"/>
        <v>6202952</v>
      </c>
      <c r="J92" s="115">
        <f t="shared" si="46"/>
        <v>35980</v>
      </c>
      <c r="K92" s="110">
        <v>0</v>
      </c>
      <c r="L92" s="110">
        <v>0</v>
      </c>
      <c r="M92" s="110">
        <v>0</v>
      </c>
      <c r="N92" s="110">
        <v>0</v>
      </c>
      <c r="O92" s="110">
        <v>0</v>
      </c>
      <c r="P92" s="110">
        <v>0</v>
      </c>
    </row>
    <row r="93" spans="1:16" ht="29.25" customHeight="1" x14ac:dyDescent="0.2">
      <c r="A93" s="154" t="s">
        <v>115</v>
      </c>
      <c r="B93" s="155"/>
      <c r="C93" s="1">
        <f>C92</f>
        <v>172.4</v>
      </c>
      <c r="D93" s="1">
        <f t="shared" ref="D93:I93" si="49">D92</f>
        <v>6202952</v>
      </c>
      <c r="E93" s="10">
        <f t="shared" si="49"/>
        <v>0</v>
      </c>
      <c r="F93" s="10">
        <f t="shared" si="49"/>
        <v>0</v>
      </c>
      <c r="G93" s="10">
        <f t="shared" si="49"/>
        <v>0</v>
      </c>
      <c r="H93" s="1">
        <f t="shared" si="49"/>
        <v>172.4</v>
      </c>
      <c r="I93" s="1">
        <f t="shared" si="49"/>
        <v>6202952</v>
      </c>
      <c r="J93" s="115">
        <f t="shared" si="46"/>
        <v>35980</v>
      </c>
      <c r="K93" s="110">
        <v>0</v>
      </c>
      <c r="L93" s="110">
        <v>0</v>
      </c>
      <c r="M93" s="110">
        <v>0</v>
      </c>
      <c r="N93" s="110">
        <v>0</v>
      </c>
      <c r="O93" s="110">
        <v>0</v>
      </c>
      <c r="P93" s="110">
        <v>0</v>
      </c>
    </row>
    <row r="94" spans="1:16" x14ac:dyDescent="0.2">
      <c r="A94" s="154" t="str">
        <f>'Приложение 1'!A94:B94</f>
        <v>Итого по городу Обь</v>
      </c>
      <c r="B94" s="155"/>
      <c r="C94" s="1">
        <f>C92</f>
        <v>172.4</v>
      </c>
      <c r="D94" s="1">
        <f>D92</f>
        <v>6202952</v>
      </c>
      <c r="E94" s="2">
        <v>0</v>
      </c>
      <c r="F94" s="2">
        <v>0</v>
      </c>
      <c r="G94" s="2">
        <v>0</v>
      </c>
      <c r="H94" s="9">
        <f t="shared" ref="H94:I98" si="50">C94</f>
        <v>172.4</v>
      </c>
      <c r="I94" s="1">
        <f t="shared" si="50"/>
        <v>6202952</v>
      </c>
      <c r="J94" s="115">
        <f t="shared" si="46"/>
        <v>35980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</row>
    <row r="95" spans="1:16" ht="14.1" customHeight="1" x14ac:dyDescent="0.2">
      <c r="A95" s="18">
        <v>1</v>
      </c>
      <c r="B95" s="8" t="str">
        <f>'Приложение 1'!B95</f>
        <v>город Обь улица Заводская дом 2</v>
      </c>
      <c r="C95" s="1">
        <f>'Приложение 1'!M95</f>
        <v>39.9</v>
      </c>
      <c r="D95" s="19">
        <f>'Приложение 1'!P95</f>
        <v>1435602</v>
      </c>
      <c r="E95" s="2">
        <v>0</v>
      </c>
      <c r="F95" s="2">
        <v>0</v>
      </c>
      <c r="G95" s="2">
        <v>0</v>
      </c>
      <c r="H95" s="9">
        <f t="shared" si="50"/>
        <v>39.9</v>
      </c>
      <c r="I95" s="1">
        <f t="shared" si="50"/>
        <v>1435602</v>
      </c>
      <c r="J95" s="115">
        <f t="shared" si="46"/>
        <v>35980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</row>
    <row r="96" spans="1:16" ht="14.1" customHeight="1" x14ac:dyDescent="0.2">
      <c r="A96" s="18">
        <v>2</v>
      </c>
      <c r="B96" s="8" t="str">
        <f>'Приложение 1'!B96</f>
        <v>город Обь улица Заводская дом 6</v>
      </c>
      <c r="C96" s="1">
        <f>'Приложение 1'!M96</f>
        <v>38.299999999999997</v>
      </c>
      <c r="D96" s="19">
        <f>'Приложение 1'!P96</f>
        <v>1378034</v>
      </c>
      <c r="E96" s="2">
        <v>0</v>
      </c>
      <c r="F96" s="2">
        <v>0</v>
      </c>
      <c r="G96" s="2">
        <v>0</v>
      </c>
      <c r="H96" s="9">
        <f t="shared" si="50"/>
        <v>38.299999999999997</v>
      </c>
      <c r="I96" s="1">
        <f t="shared" si="50"/>
        <v>1378034</v>
      </c>
      <c r="J96" s="115">
        <f t="shared" si="46"/>
        <v>35980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  <c r="P96" s="2">
        <v>0</v>
      </c>
    </row>
    <row r="97" spans="1:16" ht="14.1" customHeight="1" x14ac:dyDescent="0.2">
      <c r="A97" s="18">
        <v>3</v>
      </c>
      <c r="B97" s="8" t="str">
        <f>'Приложение 1'!B97</f>
        <v>город Обь улица Строительная дом 41</v>
      </c>
      <c r="C97" s="111">
        <f>'Приложение 1'!M97</f>
        <v>94.2</v>
      </c>
      <c r="D97" s="19">
        <f>'Приложение 1'!P97</f>
        <v>3389316</v>
      </c>
      <c r="E97" s="2">
        <v>0</v>
      </c>
      <c r="F97" s="2">
        <v>0</v>
      </c>
      <c r="G97" s="2">
        <v>0</v>
      </c>
      <c r="H97" s="9">
        <f t="shared" si="50"/>
        <v>94.2</v>
      </c>
      <c r="I97" s="1">
        <f t="shared" si="50"/>
        <v>3389316</v>
      </c>
      <c r="J97" s="115">
        <f t="shared" si="46"/>
        <v>35980</v>
      </c>
      <c r="K97" s="2">
        <v>0</v>
      </c>
      <c r="L97" s="2">
        <v>0</v>
      </c>
      <c r="M97" s="2">
        <v>0</v>
      </c>
      <c r="N97" s="2">
        <v>0</v>
      </c>
      <c r="O97" s="2">
        <v>0</v>
      </c>
      <c r="P97" s="2">
        <v>0</v>
      </c>
    </row>
    <row r="98" spans="1:16" ht="14.1" customHeight="1" x14ac:dyDescent="0.2">
      <c r="A98" s="18">
        <v>4</v>
      </c>
      <c r="B98" s="8" t="str">
        <f>'Приложение 1'!B97</f>
        <v>город Обь улица Строительная дом 41</v>
      </c>
      <c r="C98" s="1">
        <f>'Приложение 1'!M97</f>
        <v>94.2</v>
      </c>
      <c r="D98" s="19">
        <f>'Приложение 1'!P97</f>
        <v>3389316</v>
      </c>
      <c r="E98" s="2">
        <v>0</v>
      </c>
      <c r="F98" s="2">
        <v>0</v>
      </c>
      <c r="G98" s="2">
        <v>0</v>
      </c>
      <c r="H98" s="9">
        <f t="shared" si="50"/>
        <v>94.2</v>
      </c>
      <c r="I98" s="1">
        <f t="shared" si="50"/>
        <v>3389316</v>
      </c>
      <c r="J98" s="115">
        <f t="shared" si="46"/>
        <v>35980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  <c r="P98" s="2">
        <v>0</v>
      </c>
    </row>
    <row r="99" spans="1:16" ht="23.25" customHeight="1" x14ac:dyDescent="0.2">
      <c r="A99" s="170" t="s">
        <v>116</v>
      </c>
      <c r="B99" s="170"/>
      <c r="C99" s="34">
        <v>0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115"/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</row>
    <row r="100" spans="1:16" ht="23.25" customHeight="1" x14ac:dyDescent="0.2">
      <c r="A100" s="24"/>
      <c r="B100" s="24"/>
      <c r="C100" s="21"/>
      <c r="D100" s="21"/>
      <c r="E100" s="22"/>
      <c r="F100" s="22"/>
      <c r="G100" s="22"/>
      <c r="H100" s="23"/>
      <c r="I100" s="21"/>
      <c r="J100" s="21"/>
      <c r="K100" s="22"/>
      <c r="L100" s="22"/>
      <c r="M100" s="22"/>
      <c r="N100" s="22"/>
      <c r="O100" s="22"/>
      <c r="P100" s="22"/>
    </row>
    <row r="101" spans="1:16" ht="23.25" customHeight="1" x14ac:dyDescent="0.2">
      <c r="A101" s="24"/>
      <c r="B101" s="24"/>
      <c r="C101" s="21"/>
      <c r="D101" s="21"/>
      <c r="E101" s="22"/>
      <c r="F101" s="22"/>
      <c r="G101" s="22"/>
      <c r="H101" s="23"/>
      <c r="I101" s="21"/>
      <c r="J101" s="21"/>
      <c r="K101" s="22"/>
      <c r="L101" s="22"/>
      <c r="M101" s="22"/>
      <c r="N101" s="22"/>
      <c r="O101" s="22"/>
      <c r="P101" s="22"/>
    </row>
    <row r="102" spans="1:16" ht="15.75" x14ac:dyDescent="0.25">
      <c r="A102" s="20"/>
      <c r="B102" s="171" t="s">
        <v>150</v>
      </c>
      <c r="C102" s="171"/>
      <c r="D102" s="171"/>
      <c r="E102" s="100"/>
      <c r="F102" s="101"/>
      <c r="G102" s="101"/>
      <c r="H102" s="100"/>
      <c r="I102" s="164" t="s">
        <v>159</v>
      </c>
      <c r="J102" s="164"/>
      <c r="K102" s="164"/>
      <c r="L102" s="47"/>
      <c r="M102" s="22"/>
      <c r="N102" s="22"/>
      <c r="O102" s="22"/>
      <c r="P102" s="22"/>
    </row>
    <row r="104" spans="1:16" x14ac:dyDescent="0.2">
      <c r="C104" s="30"/>
      <c r="D104" s="30"/>
      <c r="E104" s="29"/>
      <c r="F104" s="27"/>
      <c r="G104" s="28"/>
      <c r="H104" s="28"/>
      <c r="I104" s="28"/>
    </row>
  </sheetData>
  <mergeCells count="35">
    <mergeCell ref="A91:B91"/>
    <mergeCell ref="A93:B93"/>
    <mergeCell ref="A13:B13"/>
    <mergeCell ref="A14:B14"/>
    <mergeCell ref="B102:D102"/>
    <mergeCell ref="A26:B26"/>
    <mergeCell ref="A69:B69"/>
    <mergeCell ref="I102:K102"/>
    <mergeCell ref="A3:P3"/>
    <mergeCell ref="A5:A7"/>
    <mergeCell ref="B5:B7"/>
    <mergeCell ref="N5:P5"/>
    <mergeCell ref="K5:M5"/>
    <mergeCell ref="H5:J5"/>
    <mergeCell ref="E5:G5"/>
    <mergeCell ref="C5:D5"/>
    <mergeCell ref="A68:B68"/>
    <mergeCell ref="A99:B99"/>
    <mergeCell ref="A74:B74"/>
    <mergeCell ref="A94:B94"/>
    <mergeCell ref="A92:B92"/>
    <mergeCell ref="A72:B72"/>
    <mergeCell ref="A73:B73"/>
    <mergeCell ref="A8:B8"/>
    <mergeCell ref="A28:B28"/>
    <mergeCell ref="A52:B52"/>
    <mergeCell ref="A50:B50"/>
    <mergeCell ref="A49:B49"/>
    <mergeCell ref="A10:B10"/>
    <mergeCell ref="A11:B11"/>
    <mergeCell ref="A9:B9"/>
    <mergeCell ref="A27:B27"/>
    <mergeCell ref="A51:B51"/>
    <mergeCell ref="A12:B12"/>
    <mergeCell ref="A25:B25"/>
  </mergeCells>
  <phoneticPr fontId="0" type="noConversion"/>
  <pageMargins left="0" right="0" top="0" bottom="0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7"/>
  <sheetViews>
    <sheetView workbookViewId="0">
      <selection activeCell="G13" sqref="G13"/>
    </sheetView>
  </sheetViews>
  <sheetFormatPr defaultRowHeight="15.75" x14ac:dyDescent="0.25"/>
  <cols>
    <col min="1" max="1" width="4.7109375" style="174" customWidth="1"/>
    <col min="2" max="2" width="12.5703125" style="174" customWidth="1"/>
    <col min="3" max="3" width="9.28515625" style="174" customWidth="1"/>
    <col min="4" max="4" width="8.42578125" style="174" customWidth="1"/>
    <col min="5" max="5" width="9.5703125" style="174" customWidth="1"/>
    <col min="6" max="6" width="9.140625" style="174" customWidth="1"/>
    <col min="7" max="7" width="7.85546875" style="174" customWidth="1"/>
    <col min="8" max="8" width="9.140625" style="174"/>
    <col min="9" max="9" width="7.28515625" style="174" customWidth="1"/>
    <col min="10" max="10" width="6.7109375" style="174" customWidth="1"/>
    <col min="11" max="11" width="7.28515625" style="174" customWidth="1"/>
    <col min="12" max="12" width="6.85546875" style="174" customWidth="1"/>
    <col min="13" max="13" width="7.140625" style="174" customWidth="1"/>
    <col min="14" max="14" width="7.28515625" style="174" customWidth="1"/>
    <col min="15" max="15" width="9.140625" style="174"/>
    <col min="16" max="16" width="7.5703125" style="174" customWidth="1"/>
    <col min="17" max="18" width="7.42578125" style="174" customWidth="1"/>
    <col min="19" max="19" width="8.140625" style="174" customWidth="1"/>
    <col min="20" max="20" width="7.42578125" style="174" customWidth="1"/>
    <col min="21" max="16384" width="9.140625" style="174"/>
  </cols>
  <sheetData>
    <row r="2" spans="1:21" x14ac:dyDescent="0.25">
      <c r="L2" s="129" t="s">
        <v>168</v>
      </c>
      <c r="O2" s="129"/>
      <c r="P2" s="129"/>
      <c r="Q2" s="129"/>
      <c r="R2" s="129"/>
      <c r="S2" s="129"/>
    </row>
    <row r="4" spans="1:21" x14ac:dyDescent="0.25">
      <c r="A4" s="175" t="s">
        <v>38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</row>
    <row r="5" spans="1:21" x14ac:dyDescent="0.25">
      <c r="A5" s="175" t="s">
        <v>0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</row>
    <row r="6" spans="1:21" x14ac:dyDescent="0.25">
      <c r="A6" s="176"/>
    </row>
    <row r="7" spans="1:21" ht="15" customHeight="1" x14ac:dyDescent="0.25">
      <c r="A7" s="177" t="s">
        <v>2</v>
      </c>
      <c r="B7" s="177" t="s">
        <v>39</v>
      </c>
      <c r="C7" s="178" t="s">
        <v>40</v>
      </c>
      <c r="D7" s="179"/>
      <c r="E7" s="179"/>
      <c r="F7" s="179"/>
      <c r="G7" s="179"/>
      <c r="H7" s="180"/>
      <c r="I7" s="178" t="s">
        <v>41</v>
      </c>
      <c r="J7" s="179"/>
      <c r="K7" s="179"/>
      <c r="L7" s="179"/>
      <c r="M7" s="179"/>
      <c r="N7" s="180"/>
      <c r="O7" s="178" t="s">
        <v>42</v>
      </c>
      <c r="P7" s="179"/>
      <c r="Q7" s="179"/>
      <c r="R7" s="179"/>
      <c r="S7" s="179"/>
      <c r="T7" s="180"/>
      <c r="U7" s="181"/>
    </row>
    <row r="8" spans="1:21" ht="31.5" x14ac:dyDescent="0.25">
      <c r="A8" s="177"/>
      <c r="B8" s="177"/>
      <c r="C8" s="182" t="s">
        <v>161</v>
      </c>
      <c r="D8" s="182" t="s">
        <v>43</v>
      </c>
      <c r="E8" s="182" t="s">
        <v>44</v>
      </c>
      <c r="F8" s="182" t="s">
        <v>45</v>
      </c>
      <c r="G8" s="182" t="s">
        <v>46</v>
      </c>
      <c r="H8" s="182" t="s">
        <v>6</v>
      </c>
      <c r="I8" s="182" t="s">
        <v>161</v>
      </c>
      <c r="J8" s="182" t="s">
        <v>43</v>
      </c>
      <c r="K8" s="182" t="s">
        <v>44</v>
      </c>
      <c r="L8" s="182" t="s">
        <v>45</v>
      </c>
      <c r="M8" s="182" t="s">
        <v>46</v>
      </c>
      <c r="N8" s="182" t="s">
        <v>6</v>
      </c>
      <c r="O8" s="182" t="s">
        <v>161</v>
      </c>
      <c r="P8" s="182" t="s">
        <v>43</v>
      </c>
      <c r="Q8" s="182" t="s">
        <v>44</v>
      </c>
      <c r="R8" s="182" t="s">
        <v>45</v>
      </c>
      <c r="S8" s="182" t="s">
        <v>46</v>
      </c>
      <c r="T8" s="182" t="s">
        <v>6</v>
      </c>
    </row>
    <row r="9" spans="1:21" x14ac:dyDescent="0.25">
      <c r="A9" s="177"/>
      <c r="B9" s="177"/>
      <c r="C9" s="183" t="s">
        <v>12</v>
      </c>
      <c r="D9" s="183" t="s">
        <v>12</v>
      </c>
      <c r="E9" s="182" t="s">
        <v>12</v>
      </c>
      <c r="F9" s="182" t="s">
        <v>12</v>
      </c>
      <c r="G9" s="182" t="s">
        <v>12</v>
      </c>
      <c r="H9" s="183" t="s">
        <v>12</v>
      </c>
      <c r="I9" s="183" t="s">
        <v>13</v>
      </c>
      <c r="J9" s="183" t="s">
        <v>13</v>
      </c>
      <c r="K9" s="182" t="s">
        <v>13</v>
      </c>
      <c r="L9" s="182" t="s">
        <v>13</v>
      </c>
      <c r="M9" s="182" t="s">
        <v>13</v>
      </c>
      <c r="N9" s="183" t="s">
        <v>13</v>
      </c>
      <c r="O9" s="183" t="s">
        <v>11</v>
      </c>
      <c r="P9" s="183" t="s">
        <v>11</v>
      </c>
      <c r="Q9" s="182" t="s">
        <v>11</v>
      </c>
      <c r="R9" s="182" t="s">
        <v>11</v>
      </c>
      <c r="S9" s="182" t="s">
        <v>11</v>
      </c>
      <c r="T9" s="183" t="s">
        <v>11</v>
      </c>
    </row>
    <row r="10" spans="1:21" x14ac:dyDescent="0.25">
      <c r="A10" s="184">
        <v>1</v>
      </c>
      <c r="B10" s="184">
        <v>2</v>
      </c>
      <c r="C10" s="184">
        <v>3</v>
      </c>
      <c r="D10" s="184">
        <v>4</v>
      </c>
      <c r="E10" s="184">
        <v>5</v>
      </c>
      <c r="F10" s="184">
        <v>6</v>
      </c>
      <c r="G10" s="184">
        <v>7</v>
      </c>
      <c r="H10" s="184">
        <v>8</v>
      </c>
      <c r="I10" s="184">
        <v>9</v>
      </c>
      <c r="J10" s="184">
        <v>10</v>
      </c>
      <c r="K10" s="184">
        <v>11</v>
      </c>
      <c r="L10" s="184">
        <v>12</v>
      </c>
      <c r="M10" s="184">
        <v>13</v>
      </c>
      <c r="N10" s="184">
        <v>14</v>
      </c>
      <c r="O10" s="184">
        <v>15</v>
      </c>
      <c r="P10" s="184">
        <v>16</v>
      </c>
      <c r="Q10" s="184">
        <v>17</v>
      </c>
      <c r="R10" s="184">
        <v>18</v>
      </c>
      <c r="S10" s="184">
        <v>19</v>
      </c>
      <c r="T10" s="184">
        <v>20</v>
      </c>
    </row>
    <row r="11" spans="1:21" ht="47.25" x14ac:dyDescent="0.25">
      <c r="A11" s="185"/>
      <c r="B11" s="182" t="s">
        <v>47</v>
      </c>
      <c r="C11" s="186"/>
      <c r="D11" s="186"/>
      <c r="E11" s="186"/>
      <c r="F11" s="186"/>
      <c r="G11" s="186"/>
      <c r="H11" s="186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</row>
    <row r="12" spans="1:21" ht="17.25" customHeight="1" x14ac:dyDescent="0.25">
      <c r="A12" s="184"/>
      <c r="B12" s="188" t="s">
        <v>103</v>
      </c>
      <c r="C12" s="189">
        <f>'Приложение 1'!M13</f>
        <v>2983.66</v>
      </c>
      <c r="D12" s="189">
        <f>'Приложение 1'!M26</f>
        <v>1823.8</v>
      </c>
      <c r="E12" s="189">
        <f>'Приложение 1'!M50+'Приложение 1'!I68</f>
        <v>2110.3000000000002</v>
      </c>
      <c r="F12" s="190">
        <f>'Приложение 1'!M72</f>
        <v>1316</v>
      </c>
      <c r="G12" s="190">
        <f>'Приложение 1'!M93</f>
        <v>172.4</v>
      </c>
      <c r="H12" s="189">
        <f>C12+D12+E12+F12+G12</f>
        <v>8406.16</v>
      </c>
      <c r="I12" s="191">
        <f>'Приложение 1'!J13</f>
        <v>108</v>
      </c>
      <c r="J12" s="191">
        <f>'Приложение 1'!J26</f>
        <v>56</v>
      </c>
      <c r="K12" s="191">
        <f>'Приложение 1'!J50+'Приложение 1'!J68</f>
        <v>63</v>
      </c>
      <c r="L12" s="192">
        <f>'Приложение 1'!J72</f>
        <v>39</v>
      </c>
      <c r="M12" s="192">
        <f>'Приложение 1'!J93</f>
        <v>5</v>
      </c>
      <c r="N12" s="192">
        <f>I12+J12+K12+L12+M12</f>
        <v>271</v>
      </c>
      <c r="O12" s="191">
        <f>'Приложение 1'!G13</f>
        <v>331</v>
      </c>
      <c r="P12" s="191">
        <f>'Приложение 1'!G26</f>
        <v>159</v>
      </c>
      <c r="Q12" s="191">
        <f>'Приложение 1'!G50+'Приложение 1'!G68</f>
        <v>205</v>
      </c>
      <c r="R12" s="191">
        <f>'Приложение 1'!G72</f>
        <v>82</v>
      </c>
      <c r="S12" s="191">
        <f>'Приложение 1'!G92</f>
        <v>19</v>
      </c>
      <c r="T12" s="191">
        <f>O12+P12+Q12+R12+S12</f>
        <v>796</v>
      </c>
    </row>
    <row r="16" spans="1:21" x14ac:dyDescent="0.25">
      <c r="C16" s="171"/>
      <c r="D16" s="171"/>
      <c r="E16" s="171"/>
      <c r="F16" s="171"/>
      <c r="G16" s="46"/>
      <c r="H16" s="53"/>
      <c r="I16" s="53"/>
      <c r="J16" s="46"/>
      <c r="K16" s="164"/>
      <c r="L16" s="164"/>
      <c r="M16" s="164"/>
      <c r="N16" s="164"/>
    </row>
    <row r="17" spans="4:13" x14ac:dyDescent="0.25">
      <c r="D17" s="193"/>
      <c r="E17" s="193"/>
      <c r="F17" s="193"/>
      <c r="G17" s="194"/>
      <c r="H17" s="194"/>
      <c r="I17" s="194"/>
      <c r="J17" s="193"/>
      <c r="K17" s="193"/>
      <c r="L17" s="193"/>
      <c r="M17" s="194"/>
    </row>
  </sheetData>
  <mergeCells count="9">
    <mergeCell ref="C16:F16"/>
    <mergeCell ref="A4:T4"/>
    <mergeCell ref="A5:T5"/>
    <mergeCell ref="A7:A9"/>
    <mergeCell ref="B7:B9"/>
    <mergeCell ref="C7:H7"/>
    <mergeCell ref="I7:N7"/>
    <mergeCell ref="O7:T7"/>
    <mergeCell ref="K16:N16"/>
  </mergeCells>
  <phoneticPr fontId="0" type="noConversion"/>
  <pageMargins left="0.70866141732283472" right="0.11811023622047245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2014-04-29T03:42:46Z</cp:lastPrinted>
  <dcterms:created xsi:type="dcterms:W3CDTF">2006-09-16T00:00:00Z</dcterms:created>
  <dcterms:modified xsi:type="dcterms:W3CDTF">2015-05-14T05:28:49Z</dcterms:modified>
</cp:coreProperties>
</file>